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280" windowHeight="8700" activeTab="0"/>
  </bookViews>
  <sheets>
    <sheet name="THchi" sheetId="1" r:id="rId1"/>
    <sheet name="TH thu" sheetId="2" r:id="rId2"/>
  </sheets>
  <definedNames>
    <definedName name="_xlnm.Print_Titles" localSheetId="1">'TH thu'!$6:$8</definedName>
    <definedName name="_xlnm.Print_Titles" localSheetId="0">'THchi'!$4:$5</definedName>
  </definedNames>
  <calcPr fullCalcOnLoad="1"/>
</workbook>
</file>

<file path=xl/comments2.xml><?xml version="1.0" encoding="utf-8"?>
<comments xmlns="http://schemas.openxmlformats.org/spreadsheetml/2006/main">
  <authors>
    <author>USER</author>
  </authors>
  <commentList>
    <comment ref="J87" authorId="0">
      <text>
        <r>
          <rPr>
            <b/>
            <sz val="9"/>
            <rFont val="Tahoma"/>
            <family val="0"/>
          </rPr>
          <t>USER:</t>
        </r>
        <r>
          <rPr>
            <sz val="9"/>
            <rFont val="Tahoma"/>
            <family val="0"/>
          </rPr>
          <t xml:space="preserve">
Lấy theo số theo dõi của STC
</t>
        </r>
      </text>
    </comment>
  </commentList>
</comments>
</file>

<file path=xl/sharedStrings.xml><?xml version="1.0" encoding="utf-8"?>
<sst xmlns="http://schemas.openxmlformats.org/spreadsheetml/2006/main" count="297" uniqueCount="248">
  <si>
    <t>UBND tỉnh, thành phố.....</t>
  </si>
  <si>
    <t>Phụ lục số 8 - Biểu số 02</t>
  </si>
  <si>
    <t>UBND TỈNH ĐIỆN BIÊN</t>
  </si>
  <si>
    <t>QUYẾT TOÁN THU NGÂN SÁCH NHÀ NƯỚC NĂM 2013</t>
  </si>
  <si>
    <t>Đơn vị: triệu đồng</t>
  </si>
  <si>
    <t>STT</t>
  </si>
  <si>
    <t>Nội dung</t>
  </si>
  <si>
    <t>Dự toán năm 2013</t>
  </si>
  <si>
    <t>Quyết toán</t>
  </si>
  <si>
    <t>Bao gồm</t>
  </si>
  <si>
    <t>So sánh QT/DT (%)</t>
  </si>
  <si>
    <t>BTC giao</t>
  </si>
  <si>
    <t>HĐND quyết định</t>
  </si>
  <si>
    <t>NSTW</t>
  </si>
  <si>
    <t>NSĐP</t>
  </si>
  <si>
    <t>Chia ra</t>
  </si>
  <si>
    <t>NS cấp tỉnh</t>
  </si>
  <si>
    <t>NS cấp huyện</t>
  </si>
  <si>
    <t>NS cấp xã</t>
  </si>
  <si>
    <t xml:space="preserve">Tổng thu </t>
  </si>
  <si>
    <t>A</t>
  </si>
  <si>
    <t>Thu cân đối ngân sách nhà nước</t>
  </si>
  <si>
    <t>I</t>
  </si>
  <si>
    <t>Thu nội địa</t>
  </si>
  <si>
    <t>1</t>
  </si>
  <si>
    <t>Thu từ kinh tế quốc doanh</t>
  </si>
  <si>
    <t>T</t>
  </si>
  <si>
    <t>1.1</t>
  </si>
  <si>
    <t>Thu từ DNNN trung ương</t>
  </si>
  <si>
    <t xml:space="preserve"> - Thuế  GTGT hàng SX doanh trong nước</t>
  </si>
  <si>
    <t>TTDB</t>
  </si>
  <si>
    <t xml:space="preserve"> - Thuế thu nhập doanh nghiệp </t>
  </si>
  <si>
    <t xml:space="preserve"> - Thuế tài nguyên</t>
  </si>
  <si>
    <t xml:space="preserve"> - Thuế môn bài</t>
  </si>
  <si>
    <t xml:space="preserve"> - Thu khác</t>
  </si>
  <si>
    <t>1.2</t>
  </si>
  <si>
    <t>Thu từ DNNN địa phương</t>
  </si>
  <si>
    <t xml:space="preserve"> - Thuế GTGT hàng SX-KD trong nước</t>
  </si>
  <si>
    <t xml:space="preserve"> - Thuế tiêu thụ đặc biệt hàng SX trong nước</t>
  </si>
  <si>
    <t xml:space="preserve"> - Thuế thu nhập doanh nghiệp</t>
  </si>
  <si>
    <t xml:space="preserve"> - Thu hồi vốn và thu khác</t>
  </si>
  <si>
    <t>2</t>
  </si>
  <si>
    <t xml:space="preserve">Thu từ DN ĐT nước ngoài </t>
  </si>
  <si>
    <t>3</t>
  </si>
  <si>
    <t xml:space="preserve"> Thu từ khu vực CTN- ngoài quốc doanh</t>
  </si>
  <si>
    <t>3.1</t>
  </si>
  <si>
    <t>Thu từ doanh nghiệp dân doanh (1)</t>
  </si>
  <si>
    <t>1700 (01,49)</t>
  </si>
  <si>
    <t>1750 (53 đến 99)</t>
  </si>
  <si>
    <t>GTGT</t>
  </si>
  <si>
    <t>4250(53,54,64)+4900 (04)</t>
  </si>
  <si>
    <t>3.2</t>
  </si>
  <si>
    <t>Thu từ cá nhân SX, KD hàng hoá, dịch vụ (2)</t>
  </si>
  <si>
    <t>TTĐB</t>
  </si>
  <si>
    <t>4</t>
  </si>
  <si>
    <t>Thuế sử dụng đất nông nghiệp</t>
  </si>
  <si>
    <t>5</t>
  </si>
  <si>
    <t>6</t>
  </si>
  <si>
    <t>Thuế thu nhập cá nhân</t>
  </si>
  <si>
    <t>7</t>
  </si>
  <si>
    <t>Lệ phí trước bạ</t>
  </si>
  <si>
    <t>2800 (01,02,03,04)</t>
  </si>
  <si>
    <t>8</t>
  </si>
  <si>
    <t>Thuế bảo vệ môi trường</t>
  </si>
  <si>
    <t>9</t>
  </si>
  <si>
    <t xml:space="preserve"> Thu phí, lệ phí </t>
  </si>
  <si>
    <t>10</t>
  </si>
  <si>
    <t>Các khoản thu về nhà đất</t>
  </si>
  <si>
    <t xml:space="preserve"> - Thuế nhà, đất</t>
  </si>
  <si>
    <t xml:space="preserve"> - Thu tiền thuê mặt đất, mặt nước</t>
  </si>
  <si>
    <t xml:space="preserve"> - Thu tiền sử dụng đất</t>
  </si>
  <si>
    <t xml:space="preserve"> - Thu tiền bán nhà và thuê nhà ở thuộc sở hữu NN</t>
  </si>
  <si>
    <t>3300 (01,49) + 3850 (51,99)</t>
  </si>
  <si>
    <t>11</t>
  </si>
  <si>
    <t>Thu tại xã</t>
  </si>
  <si>
    <t xml:space="preserve"> - Thu từ quỹ đất công ích và đất công (xã) </t>
  </si>
  <si>
    <t>12</t>
  </si>
  <si>
    <t>Thu khác ngân sách</t>
  </si>
  <si>
    <t xml:space="preserve"> - Thu tiền phạt </t>
  </si>
  <si>
    <t>4250 (-52,53,54,64)</t>
  </si>
  <si>
    <t>Trong đó: Phạt an toàn giao thông</t>
  </si>
  <si>
    <t xml:space="preserve"> - Thu tịch thu </t>
  </si>
  <si>
    <t>4300 (-01,03,05,07,08)</t>
  </si>
  <si>
    <t xml:space="preserve"> - Thu tiền bán hàng hóa vật tư dự trữ</t>
  </si>
  <si>
    <t>3200+3250</t>
  </si>
  <si>
    <t xml:space="preserve"> - Thu bán tài sản</t>
  </si>
  <si>
    <t>3350+3400+3450</t>
  </si>
  <si>
    <t xml:space="preserve"> - Thu thanh lý nhà làm việc</t>
  </si>
  <si>
    <t>3300 (02)</t>
  </si>
  <si>
    <t xml:space="preserve"> - Thu hồi các khoản chi năm trước</t>
  </si>
  <si>
    <t>4900 (02)</t>
  </si>
  <si>
    <t xml:space="preserve"> - Thu hồi vốn của NN tại các tổ chức KT</t>
  </si>
  <si>
    <t xml:space="preserve"> - Thu lãi từ các khoản vay nợ, viện trợ</t>
  </si>
  <si>
    <t xml:space="preserve"> - Thu tiền cấp quyền khai thác khoáng sản</t>
  </si>
  <si>
    <t xml:space="preserve"> - Thu khác còn lại </t>
  </si>
  <si>
    <t>II</t>
  </si>
  <si>
    <t>Thu hải quan</t>
  </si>
  <si>
    <t xml:space="preserve"> Thuế xuất khẩu, nhập khẩu</t>
  </si>
  <si>
    <t xml:space="preserve"> Thuế TTĐB hàng nhập khẩu</t>
  </si>
  <si>
    <t xml:space="preserve"> Thuế GTGT hàng nhập khẩu</t>
  </si>
  <si>
    <t>1700 (02,03)</t>
  </si>
  <si>
    <t>III</t>
  </si>
  <si>
    <t xml:space="preserve">Thu viện trợ </t>
  </si>
  <si>
    <t>Nhóm 0300</t>
  </si>
  <si>
    <t>IV</t>
  </si>
  <si>
    <t>Thu kết dư ngân sách năm trước</t>
  </si>
  <si>
    <t>4800.</t>
  </si>
  <si>
    <t>V</t>
  </si>
  <si>
    <t>Thu chuyển nguồn</t>
  </si>
  <si>
    <t>0900</t>
  </si>
  <si>
    <t>VI</t>
  </si>
  <si>
    <t>Thu huy động ĐT theo quy định của K 3 Đ 8 Luật NSNN</t>
  </si>
  <si>
    <t>0814</t>
  </si>
  <si>
    <t>B</t>
  </si>
  <si>
    <t>Các khoản thu để lại quản lý qua ngân sách NN</t>
  </si>
  <si>
    <t>Phạt ATGT (không kể thu tại xã)</t>
  </si>
  <si>
    <t>4250 (52)</t>
  </si>
  <si>
    <t>Học phí</t>
  </si>
  <si>
    <t>2500 (01)</t>
  </si>
  <si>
    <t>Viện phí</t>
  </si>
  <si>
    <t>2550(51)</t>
  </si>
  <si>
    <t>Thu xổ số kiến thiết(T)</t>
  </si>
  <si>
    <t>Thuế GTGT</t>
  </si>
  <si>
    <t>Thuế TNDN</t>
  </si>
  <si>
    <t>Thuế TTĐB</t>
  </si>
  <si>
    <t>Các khoản huy động đóng góp XDCSHT</t>
  </si>
  <si>
    <t>4450.(51)+4500.(01)</t>
  </si>
  <si>
    <t>Các khoản huy động đóng góp khác</t>
  </si>
  <si>
    <t>4450.(-51)+4500.(-01)</t>
  </si>
  <si>
    <t>C</t>
  </si>
  <si>
    <t>Thu bổ sung từ ngân sách cấp trên</t>
  </si>
  <si>
    <t>Bổ sung cân đối</t>
  </si>
  <si>
    <t>4650 (51)</t>
  </si>
  <si>
    <t>Bổ sung có mục tiêu</t>
  </si>
  <si>
    <t>4650 (-51)</t>
  </si>
  <si>
    <t xml:space="preserve"> - Bổ sung có MT bằng nguồn vốn trong nước</t>
  </si>
  <si>
    <t xml:space="preserve"> - Bổ sung có MT bằng nguồn vốn ngoài nước</t>
  </si>
  <si>
    <t>D</t>
  </si>
  <si>
    <t>Thu ngân sách cấp dưới nộp lên</t>
  </si>
  <si>
    <t>Chú thích:</t>
  </si>
  <si>
    <t xml:space="preserve">          (1) - Bao gồm: Doanh nghiệp tư nhân, Công ty trách nhiệm hữu hạn, Công ty cổ phần, Công ty nước ngoài hoạt động kinh doanh thông qua cơ sở thường trú tại Việt Nam, Hợp tác xã sản xuất - kinh doanh - dịch vụ</t>
  </si>
  <si>
    <t xml:space="preserve">          (2) - Bao gồm: Cá nhân và nhóm cá nhân kinh doanh, hộ cá thể, cá nhân hành nghề độc lập, cá nhân cho thuê tài sản, cá nhân nước ngoài kinh doanh có thu nhập phát sinh tại Việt Nam</t>
  </si>
  <si>
    <t xml:space="preserve">  QUYẾT TOÁN CHI  NGÂN SÁCH ĐỊA PHƯƠNG NĂM 2013</t>
  </si>
  <si>
    <t>Đơn vị tính  triệu đồng</t>
  </si>
  <si>
    <t>Số TT</t>
  </si>
  <si>
    <t>NỘI DUNG CHI</t>
  </si>
  <si>
    <t>DỰ TOÁN NĂM</t>
  </si>
  <si>
    <t xml:space="preserve"> QUYẾT TOÁN NĂM</t>
  </si>
  <si>
    <t>SO SÁNH QT/DT (%)</t>
  </si>
  <si>
    <t>TW giao</t>
  </si>
  <si>
    <t>HĐND QĐ</t>
  </si>
  <si>
    <t>Tổng chi</t>
  </si>
  <si>
    <t>Chi cân đối ngân sách</t>
  </si>
  <si>
    <t>Chi đầu tư phát triển</t>
  </si>
  <si>
    <t>Chi XDCB tập trung</t>
  </si>
  <si>
    <t>Trong đó: Chi đầu tư cho GD-ĐT và dạy nghề</t>
  </si>
  <si>
    <t xml:space="preserve">                   Đầu tư khoa học và công nghệ</t>
  </si>
  <si>
    <t xml:space="preserve"> - Chi đầu tư XDCB tập trung</t>
  </si>
  <si>
    <t xml:space="preserve">         Trong đó: Chương trình 135</t>
  </si>
  <si>
    <t xml:space="preserve"> - Chi từ nguồn vốn vay </t>
  </si>
  <si>
    <t xml:space="preserve"> - Chi đầu tư từ nguồn thu sử dụng đất và đấu giá đất</t>
  </si>
  <si>
    <t xml:space="preserve"> - Chi đầu tư từ các nguồn vốn khác</t>
  </si>
  <si>
    <t>Chi đầu tư và hỗ trợ DN theo chế độ</t>
  </si>
  <si>
    <t>Chi trả nợ gốc, lãi huy động ĐT theo K 3 điều 8</t>
  </si>
  <si>
    <t>Chi thường xuyên</t>
  </si>
  <si>
    <t>Chi an ninh-QP</t>
  </si>
  <si>
    <t xml:space="preserve"> - Chi an ninh</t>
  </si>
  <si>
    <t xml:space="preserve">  - Chi quốc phòng</t>
  </si>
  <si>
    <t>Chi sự nghiệp giáo dục-Đạo tạo và dạy nghề</t>
  </si>
  <si>
    <t xml:space="preserve">  - Sự nghiệp giáo dục</t>
  </si>
  <si>
    <t xml:space="preserve">  - Sự nghiệp đào tạo và dạy nghề</t>
  </si>
  <si>
    <t xml:space="preserve"> - Đào tạo khác</t>
  </si>
  <si>
    <t>3.3</t>
  </si>
  <si>
    <t>Sự nghiệp y tế</t>
  </si>
  <si>
    <t>Trong đó: Khám chữa bệnh người nghèo</t>
  </si>
  <si>
    <t>3.4</t>
  </si>
  <si>
    <t xml:space="preserve"> Sự nghiệp khoa học công nghệ</t>
  </si>
  <si>
    <t>3.5</t>
  </si>
  <si>
    <t xml:space="preserve"> Sự nghiệp văn hoá thông tin</t>
  </si>
  <si>
    <t>3.6</t>
  </si>
  <si>
    <t xml:space="preserve"> Sự nghiệp phát thanh-truyền hình</t>
  </si>
  <si>
    <t>3.7</t>
  </si>
  <si>
    <t xml:space="preserve"> Sự nghiệp thể thao</t>
  </si>
  <si>
    <t>3.8</t>
  </si>
  <si>
    <t>Chi đảm bảo xã hội</t>
  </si>
  <si>
    <t>3.9</t>
  </si>
  <si>
    <t xml:space="preserve"> Chi sự nghiệp kinh tế</t>
  </si>
  <si>
    <t xml:space="preserve"> -  SN nông nghiệp, lâm nghiệp, thủy lợi</t>
  </si>
  <si>
    <t xml:space="preserve"> -  Sự nghiệp giao thông</t>
  </si>
  <si>
    <t xml:space="preserve"> -  Sự nghiệp thuỷ sản</t>
  </si>
  <si>
    <t xml:space="preserve"> - Kiến thiết thị chính</t>
  </si>
  <si>
    <t xml:space="preserve"> -  Sự nghiệp kinh tế khác</t>
  </si>
  <si>
    <t>3.10</t>
  </si>
  <si>
    <t>Chi sự nghiệp môi trường</t>
  </si>
  <si>
    <t>3.11</t>
  </si>
  <si>
    <t>Chi trợ giá các mặt hàng chính sách</t>
  </si>
  <si>
    <t>3.12</t>
  </si>
  <si>
    <t>Chi quản lý hành chính</t>
  </si>
  <si>
    <t xml:space="preserve"> - Quản lý nhà nước</t>
  </si>
  <si>
    <t xml:space="preserve"> - HĐ của các cơ quan Đảng và các tổ chức CTXH</t>
  </si>
  <si>
    <t xml:space="preserve"> - Hỗ trợ hội , đoàn thể</t>
  </si>
  <si>
    <t>3.13</t>
  </si>
  <si>
    <t>Chi khác ngân sách</t>
  </si>
  <si>
    <t xml:space="preserve"> - Chi trả các khoản thu năm trước</t>
  </si>
  <si>
    <t xml:space="preserve"> - Hỗ  trợ công tác thu</t>
  </si>
  <si>
    <t xml:space="preserve"> - Bảo hiểm thất nghiệp</t>
  </si>
  <si>
    <t xml:space="preserve"> - Kinh phí 160</t>
  </si>
  <si>
    <t xml:space="preserve">  - KP hỗ trợ khác</t>
  </si>
  <si>
    <t>Chi CLTL từ nguồn thu</t>
  </si>
  <si>
    <t>Thu bổ sung quỹ dự trữ TC</t>
  </si>
  <si>
    <t>Dự phòng ngân sách</t>
  </si>
  <si>
    <t>Chi chuyển nguồn</t>
  </si>
  <si>
    <t>Chi từ nguồn thu để lại đơn vị Ql qua ngân sách</t>
  </si>
  <si>
    <t>Chi đầu tư</t>
  </si>
  <si>
    <t xml:space="preserve"> - Đầu tư từ nguồn thu Xổ Số</t>
  </si>
  <si>
    <t xml:space="preserve"> +  Chi đầu tư cho các trạm y tế xã</t>
  </si>
  <si>
    <t xml:space="preserve"> + Đầu tư cơ sở vật chất cho các trường học</t>
  </si>
  <si>
    <t xml:space="preserve"> - Đầu từ từ nguồn huy động đóng góp</t>
  </si>
  <si>
    <t xml:space="preserve"> + XD cơ sở vật chất cho các trường học</t>
  </si>
  <si>
    <t xml:space="preserve"> + Hỗ trợ hộ nghèo làm nhà ở theo quyết định 167</t>
  </si>
  <si>
    <t>2.1</t>
  </si>
  <si>
    <t xml:space="preserve"> - An ninh</t>
  </si>
  <si>
    <t xml:space="preserve"> - Quốc phòng</t>
  </si>
  <si>
    <t>2.2</t>
  </si>
  <si>
    <t xml:space="preserve"> - Sự nghiệp giáo dục</t>
  </si>
  <si>
    <t xml:space="preserve"> - Sự nghiệp đào tạo và dạy nghề</t>
  </si>
  <si>
    <t>2.3</t>
  </si>
  <si>
    <t>2.4</t>
  </si>
  <si>
    <t>2.5</t>
  </si>
  <si>
    <t>Chi sự nghiệp kinh tế</t>
  </si>
  <si>
    <t xml:space="preserve"> - Sự nghiệp giao thông</t>
  </si>
  <si>
    <t xml:space="preserve"> - Sự nghiệp kinh tế khác</t>
  </si>
  <si>
    <t>2.6</t>
  </si>
  <si>
    <t>Chương trình XD nông thôn mới</t>
  </si>
  <si>
    <t>Chi nộp ngân sách cấp trên</t>
  </si>
  <si>
    <t>Chi trả ngân sách tỉnh</t>
  </si>
  <si>
    <t xml:space="preserve"> -  Hỗ trợ phát triển ngành NN từ nguồn viện trợ Đan Mạch</t>
  </si>
  <si>
    <t xml:space="preserve"> - Hỗ trợ trẻ ăn trưa 3-5 tuổi</t>
  </si>
  <si>
    <t xml:space="preserve"> - Chương trình đảm bảo chất lượng giáo dục (Vốn ĐT)</t>
  </si>
  <si>
    <t xml:space="preserve"> - Chương trình KCH trường lớp học</t>
  </si>
  <si>
    <t xml:space="preserve"> - Chương trình nước sạch và vệ sinh môi trường nông thôn</t>
  </si>
  <si>
    <t>Chi trả ngân sách huyện</t>
  </si>
  <si>
    <t xml:space="preserve"> - Chưong trình xây dựng nông thôn mới</t>
  </si>
  <si>
    <t xml:space="preserve"> + Vốn đầu tư</t>
  </si>
  <si>
    <t xml:space="preserve"> + Vốn sự nghiệp (Quy hoạch nông thôn mới)</t>
  </si>
  <si>
    <t xml:space="preserve"> - Chi thường xuyên</t>
  </si>
  <si>
    <r>
      <t xml:space="preserve">                                                                            </t>
    </r>
    <r>
      <rPr>
        <b/>
        <sz val="9"/>
        <rFont val="Times New Roman"/>
        <family val="1"/>
      </rPr>
      <t>Phụ lục số 8-Biểu số 03</t>
    </r>
  </si>
  <si>
    <t xml:space="preserve">               Khám chữa bệnh cho trẻ em dưới 6 tuổi</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</si>
</sst>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0.0"/>
    <numFmt numFmtId="166" formatCode="#,##0.000"/>
    <numFmt numFmtId="167" formatCode="#,##0.0000"/>
    <numFmt numFmtId="168" formatCode="#,##0.00000"/>
    <numFmt numFmtId="169" formatCode="#,##0.000000"/>
    <numFmt numFmtId="170" formatCode="#,##0.0000000"/>
    <numFmt numFmtId="171" formatCode="#,##0.00000000"/>
    <numFmt numFmtId="172" formatCode="0.0"/>
    <numFmt numFmtId="173" formatCode="0.000"/>
    <numFmt numFmtId="174" formatCode="0.0000"/>
    <numFmt numFmtId="175" formatCode="#,##0.00;[Red]#,##0.00"/>
    <numFmt numFmtId="176" formatCode="#,##0.0;[Red]#,##0.0"/>
    <numFmt numFmtId="177" formatCode="#,##0.000000000"/>
    <numFmt numFmtId="178" formatCode="#,##0.0000000000"/>
  </numFmts>
  <fonts count="28">
    <font>
      <sz val="10"/>
      <name val="Arial"/>
      <family val="0"/>
    </font>
    <font>
      <sz val="10"/>
      <color indexed="8"/>
      <name val="MS Sans Serif"/>
      <family val="2"/>
    </font>
    <font>
      <sz val="8"/>
      <name val="Arial"/>
      <family val="0"/>
    </font>
    <font>
      <b/>
      <sz val="12"/>
      <name val="Times New Roman"/>
      <family val="1"/>
    </font>
    <font>
      <sz val="12"/>
      <name val="Times New Roman"/>
      <family val="1"/>
    </font>
    <font>
      <b/>
      <sz val="10"/>
      <name val="Times New Roman"/>
      <family val="1"/>
    </font>
    <font>
      <i/>
      <sz val="12"/>
      <name val="Times New Roman"/>
      <family val="1"/>
    </font>
    <font>
      <b/>
      <sz val="11"/>
      <name val="Times New Roman"/>
      <family val="1"/>
    </font>
    <font>
      <b/>
      <u val="single"/>
      <sz val="11"/>
      <color indexed="56"/>
      <name val="Times New Roman"/>
      <family val="1"/>
    </font>
    <font>
      <b/>
      <u val="single"/>
      <sz val="11"/>
      <name val="Times New Roman"/>
      <family val="1"/>
    </font>
    <font>
      <b/>
      <u val="single"/>
      <sz val="12"/>
      <color indexed="56"/>
      <name val="Times New Roman"/>
      <family val="1"/>
    </font>
    <font>
      <u val="single"/>
      <sz val="12"/>
      <name val="Times New Roman"/>
      <family val="1"/>
    </font>
    <font>
      <b/>
      <i/>
      <sz val="12"/>
      <name val="Times New Roman"/>
      <family val="1"/>
    </font>
    <font>
      <sz val="11"/>
      <name val="Times New Roman"/>
      <family val="1"/>
    </font>
    <font>
      <b/>
      <u val="single"/>
      <sz val="12"/>
      <name val="Times New Roman"/>
      <family val="1"/>
    </font>
    <font>
      <i/>
      <sz val="11"/>
      <name val="Times New Roman"/>
      <family val="1"/>
    </font>
    <font>
      <sz val="14"/>
      <name val="Times New Roman"/>
      <family val="1"/>
    </font>
    <font>
      <b/>
      <sz val="9"/>
      <name val="Tahoma"/>
      <family val="0"/>
    </font>
    <font>
      <sz val="9"/>
      <name val="Tahoma"/>
      <family val="0"/>
    </font>
    <font>
      <b/>
      <sz val="9"/>
      <name val="Times New Roman"/>
      <family val="1"/>
    </font>
    <font>
      <sz val="9"/>
      <name val="Times New Roman"/>
      <family val="1"/>
    </font>
    <font>
      <b/>
      <sz val="14"/>
      <name val="Times New Roman"/>
      <family val="1"/>
    </font>
    <font>
      <i/>
      <sz val="9"/>
      <name val="Times New Roman"/>
      <family val="1"/>
    </font>
    <font>
      <b/>
      <sz val="8"/>
      <name val="Times New Roman"/>
      <family val="1"/>
    </font>
    <font>
      <b/>
      <sz val="10"/>
      <name val="Arial"/>
      <family val="0"/>
    </font>
    <font>
      <sz val="10"/>
      <name val="Times New Roman"/>
      <family val="1"/>
    </font>
    <font>
      <u val="single"/>
      <sz val="11"/>
      <name val="Times New Roman"/>
      <family val="1"/>
    </font>
    <font>
      <b/>
      <sz val="8"/>
      <name val="Arial"/>
      <family val="2"/>
    </font>
  </fonts>
  <fills count="2">
    <fill>
      <patternFill/>
    </fill>
    <fill>
      <patternFill patternType="gray125"/>
    </fill>
  </fills>
  <borders count="19">
    <border>
      <left/>
      <right/>
      <top/>
      <bottom/>
      <diagonal/>
    </border>
    <border>
      <left style="thin"/>
      <right>
        <color indexed="63"/>
      </right>
      <top style="thin"/>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color indexed="63"/>
      </top>
      <bottom style="hair"/>
    </border>
    <border>
      <left style="thin"/>
      <right style="thin"/>
      <top style="hair"/>
      <bottom style="thin"/>
    </border>
    <border>
      <left>
        <color indexed="63"/>
      </left>
      <right>
        <color indexed="63"/>
      </right>
      <top>
        <color indexed="63"/>
      </top>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style="hair"/>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hair"/>
      <bottom style="hair"/>
    </border>
    <border>
      <left style="thin"/>
      <right>
        <color indexed="63"/>
      </right>
      <top>
        <color indexed="63"/>
      </top>
      <bottom>
        <color indexed="63"/>
      </bottom>
    </border>
  </borders>
  <cellStyleXfs count="21">
    <xf numFmtId="0" fontId="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06">
    <xf numFmtId="0" fontId="0" fillId="0" borderId="0" xfId="0" applyAlignment="1">
      <alignment/>
    </xf>
    <xf numFmtId="0" fontId="3" fillId="0" borderId="0" xfId="0" applyFont="1" applyFill="1" applyBorder="1" applyAlignment="1">
      <alignment horizontal="left"/>
    </xf>
    <xf numFmtId="0" fontId="4" fillId="0" borderId="0" xfId="0" applyFont="1" applyFill="1" applyBorder="1" applyAlignment="1">
      <alignment/>
    </xf>
    <xf numFmtId="1" fontId="4" fillId="0" borderId="0" xfId="0" applyNumberFormat="1" applyFont="1" applyFill="1" applyBorder="1" applyAlignment="1">
      <alignment horizontal="left"/>
    </xf>
    <xf numFmtId="3" fontId="4" fillId="0" borderId="0" xfId="0" applyNumberFormat="1" applyFont="1" applyFill="1" applyBorder="1" applyAlignment="1">
      <alignment/>
    </xf>
    <xf numFmtId="169" fontId="4" fillId="0" borderId="0" xfId="0" applyNumberFormat="1" applyFont="1" applyFill="1" applyBorder="1" applyAlignment="1">
      <alignment/>
    </xf>
    <xf numFmtId="169" fontId="4" fillId="0" borderId="0" xfId="0" applyNumberFormat="1" applyFont="1" applyFill="1" applyBorder="1" applyAlignment="1">
      <alignment horizontal="centerContinuous"/>
    </xf>
    <xf numFmtId="9" fontId="3" fillId="0" borderId="0" xfId="20" applyFont="1" applyFill="1" applyBorder="1" applyAlignment="1">
      <alignment horizontal="right"/>
    </xf>
    <xf numFmtId="0" fontId="4" fillId="0" borderId="0" xfId="0" applyFont="1" applyFill="1" applyBorder="1" applyAlignment="1">
      <alignment horizontal="left"/>
    </xf>
    <xf numFmtId="9" fontId="4" fillId="0" borderId="0" xfId="20" applyFont="1" applyFill="1" applyBorder="1" applyAlignment="1">
      <alignment horizontal="right"/>
    </xf>
    <xf numFmtId="9" fontId="4" fillId="0" borderId="0" xfId="20" applyFont="1" applyFill="1" applyBorder="1" applyAlignment="1">
      <alignment horizontal="center"/>
    </xf>
    <xf numFmtId="9" fontId="6" fillId="0" borderId="0" xfId="20" applyFont="1" applyFill="1" applyBorder="1" applyAlignment="1">
      <alignment horizontal="center"/>
    </xf>
    <xf numFmtId="169" fontId="4" fillId="0" borderId="0" xfId="0" applyNumberFormat="1" applyFont="1" applyFill="1" applyBorder="1" applyAlignment="1">
      <alignment horizontal="center"/>
    </xf>
    <xf numFmtId="169" fontId="6" fillId="0" borderId="0" xfId="0" applyNumberFormat="1" applyFont="1" applyFill="1" applyBorder="1" applyAlignment="1">
      <alignment horizontal="center"/>
    </xf>
    <xf numFmtId="1" fontId="7" fillId="0" borderId="1" xfId="0" applyNumberFormat="1" applyFont="1" applyFill="1" applyBorder="1" applyAlignment="1">
      <alignment horizontal="left" vertical="center" wrapText="1"/>
    </xf>
    <xf numFmtId="169" fontId="7" fillId="0" borderId="2"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1" fontId="7" fillId="0" borderId="2" xfId="0" applyNumberFormat="1" applyFont="1" applyFill="1" applyBorder="1" applyAlignment="1">
      <alignment horizontal="left" vertical="center" wrapText="1"/>
    </xf>
    <xf numFmtId="0" fontId="3" fillId="0" borderId="4" xfId="0" applyFont="1" applyFill="1" applyBorder="1" applyAlignment="1">
      <alignment horizontal="center" vertical="center" wrapText="1"/>
    </xf>
    <xf numFmtId="0" fontId="8" fillId="0" borderId="5" xfId="0" applyFont="1" applyFill="1" applyBorder="1" applyAlignment="1">
      <alignment horizontal="left"/>
    </xf>
    <xf numFmtId="49" fontId="9" fillId="0" borderId="5" xfId="0" applyNumberFormat="1" applyFont="1" applyFill="1" applyBorder="1" applyAlignment="1">
      <alignment horizontal="center"/>
    </xf>
    <xf numFmtId="1" fontId="9" fillId="0" borderId="5" xfId="0" applyNumberFormat="1" applyFont="1" applyFill="1" applyBorder="1" applyAlignment="1" quotePrefix="1">
      <alignment horizontal="left"/>
    </xf>
    <xf numFmtId="3" fontId="9" fillId="0" borderId="5" xfId="0" applyNumberFormat="1" applyFont="1" applyFill="1" applyBorder="1" applyAlignment="1" quotePrefix="1">
      <alignment horizontal="right"/>
    </xf>
    <xf numFmtId="4" fontId="9" fillId="0" borderId="5" xfId="0" applyNumberFormat="1" applyFont="1" applyFill="1" applyBorder="1" applyAlignment="1" quotePrefix="1">
      <alignment horizontal="right"/>
    </xf>
    <xf numFmtId="9" fontId="9" fillId="0" borderId="5" xfId="20" applyFont="1" applyFill="1" applyBorder="1" applyAlignment="1" quotePrefix="1">
      <alignment horizontal="right"/>
    </xf>
    <xf numFmtId="0" fontId="10" fillId="0" borderId="4" xfId="0" applyFont="1" applyFill="1" applyBorder="1" applyAlignment="1">
      <alignment/>
    </xf>
    <xf numFmtId="49" fontId="9" fillId="0" borderId="4" xfId="0" applyNumberFormat="1" applyFont="1" applyFill="1" applyBorder="1" applyAlignment="1">
      <alignment horizontal="center" vertical="center" wrapText="1"/>
    </xf>
    <xf numFmtId="49" fontId="9" fillId="0" borderId="4" xfId="0" applyNumberFormat="1" applyFont="1" applyFill="1" applyBorder="1" applyAlignment="1">
      <alignment vertical="center" wrapText="1"/>
    </xf>
    <xf numFmtId="1" fontId="9" fillId="0" borderId="4" xfId="0" applyNumberFormat="1" applyFont="1" applyFill="1" applyBorder="1" applyAlignment="1">
      <alignment horizontal="left" vertical="center" wrapText="1"/>
    </xf>
    <xf numFmtId="3" fontId="9" fillId="0" borderId="4" xfId="0" applyNumberFormat="1" applyFont="1" applyFill="1" applyBorder="1" applyAlignment="1">
      <alignment horizontal="right" vertical="center" wrapText="1"/>
    </xf>
    <xf numFmtId="4" fontId="9" fillId="0" borderId="4" xfId="0" applyNumberFormat="1" applyFont="1" applyFill="1" applyBorder="1" applyAlignment="1">
      <alignment horizontal="right" vertical="center" wrapText="1"/>
    </xf>
    <xf numFmtId="9" fontId="9" fillId="0" borderId="5" xfId="20" applyFont="1" applyFill="1" applyBorder="1" applyAlignment="1" quotePrefix="1">
      <alignment horizontal="right" vertical="center" wrapText="1"/>
    </xf>
    <xf numFmtId="9" fontId="9" fillId="0" borderId="4" xfId="20" applyFont="1" applyFill="1" applyBorder="1" applyAlignment="1">
      <alignment horizontal="right" vertical="center" wrapText="1"/>
    </xf>
    <xf numFmtId="0" fontId="11" fillId="0" borderId="4" xfId="0" applyFont="1" applyFill="1" applyBorder="1" applyAlignment="1">
      <alignment vertical="center" wrapText="1"/>
    </xf>
    <xf numFmtId="49" fontId="7" fillId="0" borderId="4" xfId="0" applyNumberFormat="1" applyFont="1" applyFill="1" applyBorder="1" applyAlignment="1">
      <alignment horizontal="center" vertical="center" wrapText="1"/>
    </xf>
    <xf numFmtId="49" fontId="7" fillId="0" borderId="4" xfId="0" applyNumberFormat="1" applyFont="1" applyFill="1" applyBorder="1" applyAlignment="1">
      <alignment vertical="center" wrapText="1"/>
    </xf>
    <xf numFmtId="1" fontId="7" fillId="0" borderId="4" xfId="0" applyNumberFormat="1" applyFont="1" applyFill="1" applyBorder="1" applyAlignment="1">
      <alignment horizontal="left" vertical="center" wrapText="1"/>
    </xf>
    <xf numFmtId="3" fontId="7" fillId="0" borderId="4" xfId="0" applyNumberFormat="1" applyFont="1" applyFill="1" applyBorder="1" applyAlignment="1">
      <alignment horizontal="right" vertical="center" wrapText="1"/>
    </xf>
    <xf numFmtId="4" fontId="7" fillId="0" borderId="4" xfId="0" applyNumberFormat="1" applyFont="1" applyFill="1" applyBorder="1" applyAlignment="1">
      <alignment horizontal="right" vertical="center" wrapText="1"/>
    </xf>
    <xf numFmtId="9" fontId="7" fillId="0" borderId="4" xfId="20" applyFont="1" applyFill="1" applyBorder="1" applyAlignment="1">
      <alignment horizontal="right" vertical="center" wrapText="1"/>
    </xf>
    <xf numFmtId="3" fontId="7" fillId="0" borderId="4" xfId="0" applyNumberFormat="1" applyFont="1" applyFill="1" applyBorder="1" applyAlignment="1">
      <alignment vertical="center" wrapText="1"/>
    </xf>
    <xf numFmtId="0" fontId="3" fillId="0" borderId="4" xfId="0" applyFont="1" applyFill="1" applyBorder="1" applyAlignment="1">
      <alignment vertical="center" wrapText="1"/>
    </xf>
    <xf numFmtId="4" fontId="7" fillId="0" borderId="4" xfId="0" applyNumberFormat="1" applyFont="1" applyFill="1" applyBorder="1" applyAlignment="1">
      <alignment vertical="center" wrapText="1"/>
    </xf>
    <xf numFmtId="9" fontId="7" fillId="0" borderId="4" xfId="20" applyFont="1" applyFill="1" applyBorder="1" applyAlignment="1">
      <alignment vertical="center" wrapText="1"/>
    </xf>
    <xf numFmtId="3" fontId="3" fillId="0" borderId="4" xfId="0" applyNumberFormat="1" applyFont="1" applyFill="1" applyBorder="1" applyAlignment="1">
      <alignment vertical="center" wrapText="1"/>
    </xf>
    <xf numFmtId="0" fontId="12" fillId="0" borderId="4" xfId="0" applyFont="1" applyFill="1" applyBorder="1" applyAlignment="1">
      <alignment vertical="center" wrapText="1"/>
    </xf>
    <xf numFmtId="49" fontId="13" fillId="0" borderId="4" xfId="0" applyNumberFormat="1" applyFont="1" applyFill="1" applyBorder="1" applyAlignment="1">
      <alignment horizontal="left" vertical="center" wrapText="1"/>
    </xf>
    <xf numFmtId="49" fontId="13" fillId="0" borderId="4" xfId="0" applyNumberFormat="1" applyFont="1" applyFill="1" applyBorder="1" applyAlignment="1">
      <alignment vertical="center" wrapText="1"/>
    </xf>
    <xf numFmtId="1" fontId="13" fillId="0" borderId="4" xfId="0" applyNumberFormat="1" applyFont="1" applyFill="1" applyBorder="1" applyAlignment="1">
      <alignment horizontal="left" vertical="center" wrapText="1"/>
    </xf>
    <xf numFmtId="3" fontId="13" fillId="0" borderId="4" xfId="0" applyNumberFormat="1" applyFont="1" applyFill="1" applyBorder="1" applyAlignment="1">
      <alignment vertical="center" wrapText="1"/>
    </xf>
    <xf numFmtId="4" fontId="13" fillId="0" borderId="4" xfId="0" applyNumberFormat="1" applyFont="1" applyFill="1" applyBorder="1" applyAlignment="1">
      <alignment vertical="center" wrapText="1"/>
    </xf>
    <xf numFmtId="9" fontId="13" fillId="0" borderId="5" xfId="20" applyFont="1" applyFill="1" applyBorder="1" applyAlignment="1" quotePrefix="1">
      <alignment horizontal="right" vertical="center" wrapText="1"/>
    </xf>
    <xf numFmtId="9" fontId="13" fillId="0" borderId="4" xfId="20" applyFont="1" applyFill="1" applyBorder="1" applyAlignment="1">
      <alignment horizontal="right" vertical="center" wrapText="1"/>
    </xf>
    <xf numFmtId="0" fontId="4" fillId="0" borderId="4" xfId="0" applyFont="1" applyFill="1" applyBorder="1" applyAlignment="1">
      <alignment vertical="center" wrapText="1"/>
    </xf>
    <xf numFmtId="9" fontId="7" fillId="0" borderId="5" xfId="20" applyFont="1" applyFill="1" applyBorder="1" applyAlignment="1" quotePrefix="1">
      <alignment horizontal="right" vertical="center" wrapText="1"/>
    </xf>
    <xf numFmtId="1" fontId="13" fillId="0" borderId="4" xfId="0" applyNumberFormat="1" applyFont="1" applyFill="1" applyBorder="1" applyAlignment="1" quotePrefix="1">
      <alignment horizontal="left" vertical="center" wrapText="1"/>
    </xf>
    <xf numFmtId="1" fontId="7" fillId="0" borderId="4" xfId="0" applyNumberFormat="1" applyFont="1" applyFill="1" applyBorder="1" applyAlignment="1" quotePrefix="1">
      <alignment horizontal="left" vertical="center" wrapText="1"/>
    </xf>
    <xf numFmtId="49" fontId="13" fillId="0" borderId="4" xfId="0" applyNumberFormat="1" applyFont="1" applyFill="1" applyBorder="1" applyAlignment="1">
      <alignment/>
    </xf>
    <xf numFmtId="1" fontId="13" fillId="0" borderId="4" xfId="0" applyNumberFormat="1" applyFont="1" applyFill="1" applyBorder="1" applyAlignment="1">
      <alignment horizontal="left"/>
    </xf>
    <xf numFmtId="49" fontId="13" fillId="0" borderId="4" xfId="0" applyNumberFormat="1" applyFont="1" applyFill="1" applyBorder="1" applyAlignment="1">
      <alignment horizontal="center" vertical="center" wrapText="1"/>
    </xf>
    <xf numFmtId="1" fontId="7" fillId="0" borderId="4" xfId="0" applyNumberFormat="1" applyFont="1" applyFill="1" applyBorder="1" applyAlignment="1">
      <alignment horizontal="left"/>
    </xf>
    <xf numFmtId="1" fontId="7" fillId="0" borderId="4" xfId="0" applyNumberFormat="1" applyFont="1" applyFill="1" applyBorder="1" applyAlignment="1" quotePrefix="1">
      <alignment horizontal="left"/>
    </xf>
    <xf numFmtId="3" fontId="9" fillId="0" borderId="4" xfId="0" applyNumberFormat="1" applyFont="1" applyFill="1" applyBorder="1" applyAlignment="1">
      <alignment vertical="center" wrapText="1"/>
    </xf>
    <xf numFmtId="4" fontId="9" fillId="0" borderId="4" xfId="0" applyNumberFormat="1" applyFont="1" applyFill="1" applyBorder="1" applyAlignment="1">
      <alignment vertical="center" wrapText="1"/>
    </xf>
    <xf numFmtId="0" fontId="14" fillId="0" borderId="4" xfId="0" applyFont="1" applyFill="1" applyBorder="1" applyAlignment="1">
      <alignment vertical="center" wrapText="1"/>
    </xf>
    <xf numFmtId="0" fontId="7" fillId="0" borderId="4" xfId="0" applyFont="1" applyFill="1" applyBorder="1" applyAlignment="1">
      <alignment vertical="center" wrapText="1"/>
    </xf>
    <xf numFmtId="49" fontId="15" fillId="0" borderId="4" xfId="0" applyNumberFormat="1" applyFont="1" applyFill="1" applyBorder="1" applyAlignment="1">
      <alignment horizontal="left" vertical="center" wrapText="1"/>
    </xf>
    <xf numFmtId="0" fontId="13" fillId="0" borderId="4" xfId="0" applyFont="1" applyFill="1" applyBorder="1" applyAlignment="1">
      <alignment vertical="center" wrapText="1"/>
    </xf>
    <xf numFmtId="0" fontId="6" fillId="0" borderId="4" xfId="0" applyFont="1" applyFill="1" applyBorder="1" applyAlignment="1">
      <alignment vertical="center" wrapText="1"/>
    </xf>
    <xf numFmtId="49" fontId="9" fillId="0" borderId="6" xfId="0" applyNumberFormat="1" applyFont="1" applyFill="1" applyBorder="1" applyAlignment="1">
      <alignment horizontal="center" vertical="center" wrapText="1"/>
    </xf>
    <xf numFmtId="49" fontId="9" fillId="0" borderId="6" xfId="0" applyNumberFormat="1" applyFont="1" applyFill="1" applyBorder="1" applyAlignment="1">
      <alignment vertical="center" wrapText="1"/>
    </xf>
    <xf numFmtId="1" fontId="9" fillId="0" borderId="6" xfId="0" applyNumberFormat="1" applyFont="1" applyFill="1" applyBorder="1" applyAlignment="1" quotePrefix="1">
      <alignment horizontal="left" vertical="center" wrapText="1"/>
    </xf>
    <xf numFmtId="3" fontId="9" fillId="0" borderId="6" xfId="0" applyNumberFormat="1" applyFont="1" applyFill="1" applyBorder="1" applyAlignment="1">
      <alignment vertical="center" wrapText="1"/>
    </xf>
    <xf numFmtId="4" fontId="9" fillId="0" borderId="6" xfId="0" applyNumberFormat="1" applyFont="1" applyFill="1" applyBorder="1" applyAlignment="1">
      <alignment vertical="center" wrapText="1"/>
    </xf>
    <xf numFmtId="9" fontId="9" fillId="0" borderId="6" xfId="20" applyFont="1" applyFill="1" applyBorder="1" applyAlignment="1" quotePrefix="1">
      <alignment horizontal="right" vertical="center" wrapText="1"/>
    </xf>
    <xf numFmtId="9" fontId="9" fillId="0" borderId="6" xfId="20" applyFont="1" applyFill="1" applyBorder="1" applyAlignment="1">
      <alignment horizontal="right" vertical="center" wrapText="1"/>
    </xf>
    <xf numFmtId="0" fontId="4" fillId="0" borderId="0" xfId="0" applyFont="1" applyFill="1" applyBorder="1" applyAlignment="1">
      <alignment horizontal="left" vertical="center" wrapText="1"/>
    </xf>
    <xf numFmtId="0" fontId="6" fillId="0" borderId="0" xfId="0" applyFont="1" applyFill="1" applyBorder="1" applyAlignment="1">
      <alignment vertical="center" wrapText="1"/>
    </xf>
    <xf numFmtId="1" fontId="4" fillId="0" borderId="0" xfId="0" applyNumberFormat="1" applyFont="1" applyFill="1" applyBorder="1" applyAlignment="1">
      <alignment horizontal="left" vertical="center" wrapText="1"/>
    </xf>
    <xf numFmtId="3" fontId="4" fillId="0" borderId="0" xfId="0" applyNumberFormat="1" applyFont="1" applyFill="1" applyBorder="1" applyAlignment="1">
      <alignment vertical="center" wrapText="1"/>
    </xf>
    <xf numFmtId="169" fontId="4" fillId="0" borderId="0" xfId="0" applyNumberFormat="1" applyFont="1" applyFill="1" applyBorder="1" applyAlignment="1">
      <alignment vertical="center" wrapText="1"/>
    </xf>
    <xf numFmtId="9" fontId="4" fillId="0" borderId="0" xfId="20" applyFont="1" applyFill="1" applyBorder="1" applyAlignment="1">
      <alignment horizontal="right" vertical="center" wrapText="1"/>
    </xf>
    <xf numFmtId="0" fontId="4" fillId="0" borderId="0" xfId="0" applyFont="1" applyFill="1" applyBorder="1" applyAlignment="1">
      <alignment vertical="center" wrapText="1"/>
    </xf>
    <xf numFmtId="1" fontId="15" fillId="0" borderId="0" xfId="0" applyNumberFormat="1" applyFont="1" applyFill="1" applyBorder="1" applyAlignment="1">
      <alignment horizontal="left"/>
    </xf>
    <xf numFmtId="0" fontId="6" fillId="0" borderId="0" xfId="0" applyFont="1" applyFill="1" applyBorder="1" applyAlignment="1">
      <alignment/>
    </xf>
    <xf numFmtId="3" fontId="6" fillId="0" borderId="0" xfId="0" applyNumberFormat="1" applyFont="1" applyFill="1" applyBorder="1" applyAlignment="1">
      <alignment/>
    </xf>
    <xf numFmtId="0" fontId="16" fillId="0" borderId="0" xfId="0" applyFont="1" applyAlignment="1">
      <alignment/>
    </xf>
    <xf numFmtId="3" fontId="3" fillId="0" borderId="0" xfId="0" applyNumberFormat="1" applyFont="1" applyFill="1" applyBorder="1" applyAlignment="1">
      <alignment horizontal="center"/>
    </xf>
    <xf numFmtId="1" fontId="3" fillId="0" borderId="0" xfId="0" applyNumberFormat="1" applyFont="1" applyFill="1" applyBorder="1" applyAlignment="1">
      <alignment horizontal="left"/>
    </xf>
    <xf numFmtId="3" fontId="3" fillId="0" borderId="0" xfId="0" applyNumberFormat="1" applyFont="1" applyFill="1" applyBorder="1" applyAlignment="1">
      <alignment/>
    </xf>
    <xf numFmtId="0" fontId="5" fillId="0" borderId="0" xfId="0" applyFont="1" applyAlignment="1">
      <alignment horizontal="center"/>
    </xf>
    <xf numFmtId="0" fontId="3" fillId="0" borderId="0" xfId="0" applyFont="1" applyFill="1" applyBorder="1" applyAlignment="1">
      <alignment/>
    </xf>
    <xf numFmtId="0" fontId="14" fillId="0" borderId="0" xfId="0" applyFont="1" applyFill="1" applyBorder="1" applyAlignment="1">
      <alignment/>
    </xf>
    <xf numFmtId="169" fontId="3" fillId="0" borderId="0" xfId="0" applyNumberFormat="1" applyFont="1" applyFill="1" applyBorder="1" applyAlignment="1">
      <alignment/>
    </xf>
    <xf numFmtId="0" fontId="11" fillId="0" borderId="0" xfId="0" applyFont="1" applyFill="1" applyBorder="1" applyAlignment="1">
      <alignment/>
    </xf>
    <xf numFmtId="0" fontId="6" fillId="0" borderId="0" xfId="0" applyFont="1" applyFill="1" applyBorder="1" applyAlignment="1">
      <alignment horizontal="left"/>
    </xf>
    <xf numFmtId="1" fontId="6" fillId="0" borderId="0" xfId="0" applyNumberFormat="1" applyFont="1" applyFill="1" applyBorder="1" applyAlignment="1">
      <alignment horizontal="left"/>
    </xf>
    <xf numFmtId="3" fontId="6" fillId="0" borderId="0" xfId="0" applyNumberFormat="1" applyFont="1" applyFill="1" applyBorder="1" applyAlignment="1">
      <alignment horizontal="left"/>
    </xf>
    <xf numFmtId="169" fontId="6" fillId="0" borderId="0" xfId="0" applyNumberFormat="1" applyFont="1" applyFill="1" applyBorder="1" applyAlignment="1">
      <alignment horizontal="left"/>
    </xf>
    <xf numFmtId="9" fontId="6" fillId="0" borderId="0" xfId="20" applyFont="1" applyFill="1" applyBorder="1" applyAlignment="1">
      <alignment horizontal="right"/>
    </xf>
    <xf numFmtId="0" fontId="5" fillId="0" borderId="0" xfId="0" applyFont="1" applyAlignment="1">
      <alignment/>
    </xf>
    <xf numFmtId="0" fontId="3" fillId="0" borderId="0" xfId="0" applyFont="1" applyAlignment="1">
      <alignment/>
    </xf>
    <xf numFmtId="0" fontId="20" fillId="0" borderId="0" xfId="0" applyFont="1" applyAlignment="1">
      <alignment horizontal="center"/>
    </xf>
    <xf numFmtId="0" fontId="4" fillId="0" borderId="0" xfId="0" applyFont="1" applyAlignment="1">
      <alignment horizontal="center"/>
    </xf>
    <xf numFmtId="0" fontId="22" fillId="0" borderId="7" xfId="0" applyFont="1" applyBorder="1" applyAlignment="1">
      <alignment horizontal="center"/>
    </xf>
    <xf numFmtId="0" fontId="20" fillId="0" borderId="7" xfId="0" applyFont="1" applyBorder="1" applyAlignment="1">
      <alignment horizontal="center"/>
    </xf>
    <xf numFmtId="0" fontId="20" fillId="0" borderId="0" xfId="0" applyFont="1" applyAlignment="1">
      <alignment/>
    </xf>
    <xf numFmtId="3" fontId="7" fillId="0" borderId="8" xfId="0" applyNumberFormat="1" applyFont="1" applyFill="1" applyBorder="1" applyAlignment="1">
      <alignment horizontal="center" vertical="center" wrapText="1"/>
    </xf>
    <xf numFmtId="0" fontId="6" fillId="0" borderId="0" xfId="0" applyFont="1" applyAlignment="1">
      <alignment horizontal="center"/>
    </xf>
    <xf numFmtId="0" fontId="4" fillId="0" borderId="0" xfId="0" applyFont="1" applyAlignment="1">
      <alignment/>
    </xf>
    <xf numFmtId="0" fontId="25" fillId="0" borderId="9" xfId="0" applyFont="1" applyBorder="1" applyAlignment="1">
      <alignment horizontal="center"/>
    </xf>
    <xf numFmtId="0" fontId="25" fillId="0" borderId="2" xfId="0" applyFont="1" applyBorder="1" applyAlignment="1">
      <alignment horizontal="center"/>
    </xf>
    <xf numFmtId="0" fontId="25" fillId="0" borderId="1" xfId="0" applyFont="1" applyBorder="1" applyAlignment="1">
      <alignment horizontal="center"/>
    </xf>
    <xf numFmtId="0" fontId="7" fillId="0" borderId="3" xfId="0" applyFont="1" applyBorder="1" applyAlignment="1">
      <alignment horizontal="center" vertical="center" wrapText="1"/>
    </xf>
    <xf numFmtId="3" fontId="7" fillId="0" borderId="10" xfId="0" applyNumberFormat="1" applyFont="1" applyBorder="1" applyAlignment="1">
      <alignment horizontal="right"/>
    </xf>
    <xf numFmtId="4" fontId="7" fillId="0" borderId="10" xfId="0" applyNumberFormat="1" applyFont="1" applyBorder="1" applyAlignment="1">
      <alignment horizontal="right"/>
    </xf>
    <xf numFmtId="9" fontId="7" fillId="0" borderId="10" xfId="20" applyFont="1" applyBorder="1" applyAlignment="1">
      <alignment horizontal="right"/>
    </xf>
    <xf numFmtId="9" fontId="7" fillId="0" borderId="3" xfId="20" applyFont="1" applyBorder="1" applyAlignment="1">
      <alignment horizontal="right"/>
    </xf>
    <xf numFmtId="0" fontId="9" fillId="0" borderId="4" xfId="0" applyFont="1" applyBorder="1" applyAlignment="1">
      <alignment/>
    </xf>
    <xf numFmtId="3" fontId="9" fillId="0" borderId="4" xfId="0" applyNumberFormat="1" applyFont="1" applyBorder="1" applyAlignment="1">
      <alignment/>
    </xf>
    <xf numFmtId="4" fontId="9" fillId="0" borderId="4" xfId="0" applyNumberFormat="1" applyFont="1" applyBorder="1" applyAlignment="1">
      <alignment/>
    </xf>
    <xf numFmtId="9" fontId="9" fillId="0" borderId="4" xfId="20" applyNumberFormat="1" applyFont="1" applyBorder="1" applyAlignment="1">
      <alignment/>
    </xf>
    <xf numFmtId="0" fontId="13" fillId="0" borderId="4" xfId="0" applyFont="1" applyBorder="1" applyAlignment="1">
      <alignment/>
    </xf>
    <xf numFmtId="3" fontId="13" fillId="0" borderId="4" xfId="0" applyNumberFormat="1" applyFont="1" applyBorder="1" applyAlignment="1">
      <alignment/>
    </xf>
    <xf numFmtId="4" fontId="13" fillId="0" borderId="4" xfId="0" applyNumberFormat="1" applyFont="1" applyBorder="1" applyAlignment="1">
      <alignment/>
    </xf>
    <xf numFmtId="9" fontId="13" fillId="0" borderId="4" xfId="20" applyNumberFormat="1" applyFont="1" applyBorder="1" applyAlignment="1">
      <alignment/>
    </xf>
    <xf numFmtId="4" fontId="7" fillId="0" borderId="4" xfId="0" applyNumberFormat="1" applyFont="1" applyBorder="1" applyAlignment="1">
      <alignment/>
    </xf>
    <xf numFmtId="9" fontId="13" fillId="0" borderId="4" xfId="20" applyFont="1" applyBorder="1" applyAlignment="1">
      <alignment/>
    </xf>
    <xf numFmtId="9" fontId="9" fillId="0" borderId="4" xfId="20" applyFont="1" applyBorder="1" applyAlignment="1">
      <alignment/>
    </xf>
    <xf numFmtId="0" fontId="7" fillId="0" borderId="4" xfId="0" applyFont="1" applyBorder="1" applyAlignment="1">
      <alignment/>
    </xf>
    <xf numFmtId="3" fontId="7" fillId="0" borderId="4" xfId="0" applyNumberFormat="1" applyFont="1" applyBorder="1" applyAlignment="1">
      <alignment/>
    </xf>
    <xf numFmtId="0" fontId="26" fillId="0" borderId="4" xfId="0" applyFont="1" applyBorder="1" applyAlignment="1">
      <alignment/>
    </xf>
    <xf numFmtId="0" fontId="13" fillId="0" borderId="6" xfId="0" applyFont="1" applyBorder="1" applyAlignment="1">
      <alignment/>
    </xf>
    <xf numFmtId="3" fontId="13" fillId="0" borderId="6" xfId="0" applyNumberFormat="1" applyFont="1" applyBorder="1" applyAlignment="1">
      <alignment/>
    </xf>
    <xf numFmtId="4" fontId="13" fillId="0" borderId="6" xfId="0" applyNumberFormat="1" applyFont="1" applyBorder="1" applyAlignment="1">
      <alignment/>
    </xf>
    <xf numFmtId="0" fontId="9" fillId="0" borderId="6" xfId="0" applyFont="1" applyBorder="1" applyAlignment="1">
      <alignment/>
    </xf>
    <xf numFmtId="0" fontId="25" fillId="0" borderId="11" xfId="0" applyFont="1" applyBorder="1" applyAlignment="1">
      <alignment horizontal="center"/>
    </xf>
    <xf numFmtId="0" fontId="25" fillId="0" borderId="0" xfId="0" applyFont="1" applyAlignment="1">
      <alignment/>
    </xf>
    <xf numFmtId="0" fontId="5" fillId="0" borderId="0" xfId="0" applyFont="1" applyAlignment="1">
      <alignment horizontal="center"/>
    </xf>
    <xf numFmtId="0" fontId="23" fillId="0" borderId="12"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3" xfId="0" applyFont="1" applyBorder="1" applyAlignment="1">
      <alignment horizontal="center" vertical="center" wrapText="1"/>
    </xf>
    <xf numFmtId="0" fontId="2" fillId="0" borderId="9"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4" xfId="0" applyFont="1" applyBorder="1" applyAlignment="1">
      <alignment horizontal="center" vertical="center" wrapText="1"/>
    </xf>
    <xf numFmtId="0" fontId="23" fillId="0" borderId="1" xfId="0" applyFont="1" applyBorder="1" applyAlignment="1">
      <alignment horizontal="center"/>
    </xf>
    <xf numFmtId="0" fontId="23" fillId="0" borderId="8" xfId="0" applyFont="1" applyBorder="1" applyAlignment="1">
      <alignment horizontal="center"/>
    </xf>
    <xf numFmtId="0" fontId="25" fillId="0" borderId="11" xfId="0" applyFont="1" applyBorder="1" applyAlignment="1">
      <alignment horizontal="center"/>
    </xf>
    <xf numFmtId="0" fontId="21" fillId="0" borderId="0" xfId="0" applyFont="1" applyAlignment="1">
      <alignment horizontal="center"/>
    </xf>
    <xf numFmtId="0" fontId="5" fillId="0" borderId="15" xfId="0" applyFont="1" applyBorder="1" applyAlignment="1">
      <alignment horizontal="center" vertical="center" wrapText="1"/>
    </xf>
    <xf numFmtId="0" fontId="24" fillId="0" borderId="16" xfId="0" applyFont="1" applyBorder="1" applyAlignment="1">
      <alignment horizontal="center" vertical="center" wrapText="1"/>
    </xf>
    <xf numFmtId="0" fontId="23" fillId="0" borderId="15" xfId="0" applyFont="1" applyBorder="1" applyAlignment="1">
      <alignment horizontal="center" vertical="center" wrapText="1"/>
    </xf>
    <xf numFmtId="0" fontId="2" fillId="0" borderId="16" xfId="0" applyFont="1" applyBorder="1" applyAlignment="1">
      <alignment horizontal="center" vertical="center" wrapText="1"/>
    </xf>
    <xf numFmtId="9" fontId="3" fillId="0" borderId="0" xfId="20" applyFont="1" applyFill="1" applyBorder="1" applyAlignment="1">
      <alignment horizontal="right"/>
    </xf>
    <xf numFmtId="0" fontId="5" fillId="0" borderId="0" xfId="0" applyFont="1" applyFill="1" applyBorder="1" applyAlignment="1">
      <alignment horizontal="left"/>
    </xf>
    <xf numFmtId="4" fontId="4" fillId="0" borderId="0" xfId="0" applyNumberFormat="1" applyFont="1" applyFill="1" applyBorder="1" applyAlignment="1">
      <alignment horizontal="center"/>
    </xf>
    <xf numFmtId="0" fontId="3" fillId="0" borderId="0" xfId="0" applyFont="1" applyFill="1" applyBorder="1" applyAlignment="1">
      <alignment horizontal="center"/>
    </xf>
    <xf numFmtId="169" fontId="7" fillId="0" borderId="2" xfId="0" applyNumberFormat="1" applyFont="1" applyFill="1" applyBorder="1" applyAlignment="1">
      <alignment horizontal="center" vertical="center" wrapText="1"/>
    </xf>
    <xf numFmtId="9" fontId="7" fillId="0" borderId="2" xfId="20" applyFont="1" applyFill="1" applyBorder="1" applyAlignment="1">
      <alignment horizontal="center" vertical="center" wrapText="1"/>
    </xf>
    <xf numFmtId="3" fontId="7" fillId="0" borderId="2" xfId="0" applyNumberFormat="1" applyFont="1" applyFill="1" applyBorder="1" applyAlignment="1">
      <alignment horizontal="center" vertical="center" wrapText="1"/>
    </xf>
    <xf numFmtId="9" fontId="7" fillId="0" borderId="15" xfId="20" applyFont="1" applyFill="1" applyBorder="1" applyAlignment="1">
      <alignment horizontal="center" vertical="center" wrapText="1"/>
    </xf>
    <xf numFmtId="9" fontId="7" fillId="0" borderId="16" xfId="20" applyFont="1" applyFill="1" applyBorder="1" applyAlignment="1">
      <alignment horizontal="center" vertical="center" wrapText="1"/>
    </xf>
    <xf numFmtId="0" fontId="7" fillId="0" borderId="2" xfId="0" applyFont="1" applyFill="1" applyBorder="1" applyAlignment="1">
      <alignment horizontal="left" vertical="center" wrapText="1"/>
    </xf>
    <xf numFmtId="0" fontId="7" fillId="0" borderId="2" xfId="0"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0" fontId="7" fillId="0" borderId="0" xfId="0" applyFont="1" applyAlignment="1">
      <alignment horizontal="center"/>
    </xf>
    <xf numFmtId="0" fontId="6" fillId="0" borderId="0" xfId="0" applyFont="1" applyFill="1" applyBorder="1" applyAlignment="1">
      <alignment horizontal="left" wrapText="1"/>
    </xf>
    <xf numFmtId="4" fontId="3" fillId="0" borderId="0" xfId="0" applyNumberFormat="1" applyFont="1" applyFill="1" applyBorder="1" applyAlignment="1">
      <alignment horizontal="center"/>
    </xf>
    <xf numFmtId="0" fontId="4" fillId="0" borderId="0" xfId="0" applyFont="1" applyFill="1" applyBorder="1" applyAlignment="1">
      <alignment horizontal="left"/>
    </xf>
    <xf numFmtId="0" fontId="9" fillId="0" borderId="4" xfId="0" applyFont="1" applyBorder="1" applyAlignment="1">
      <alignment horizontal="center"/>
    </xf>
    <xf numFmtId="0" fontId="7" fillId="0" borderId="4" xfId="0" applyFont="1" applyBorder="1" applyAlignment="1">
      <alignment horizontal="center"/>
    </xf>
    <xf numFmtId="0" fontId="13" fillId="0" borderId="4" xfId="0" applyFont="1" applyBorder="1" applyAlignment="1">
      <alignment horizontal="center"/>
    </xf>
    <xf numFmtId="3" fontId="13" fillId="0" borderId="4" xfId="0" applyNumberFormat="1" applyFont="1" applyBorder="1" applyAlignment="1">
      <alignment horizontal="center"/>
    </xf>
    <xf numFmtId="0" fontId="7" fillId="0" borderId="6" xfId="0" applyFont="1" applyBorder="1" applyAlignment="1">
      <alignment horizontal="center"/>
    </xf>
    <xf numFmtId="0" fontId="25" fillId="0" borderId="0" xfId="0" applyFont="1" applyAlignment="1">
      <alignment horizontal="center"/>
    </xf>
    <xf numFmtId="0" fontId="16" fillId="0" borderId="0" xfId="0" applyFont="1" applyAlignment="1">
      <alignment horizontal="center"/>
    </xf>
    <xf numFmtId="0" fontId="0" fillId="0" borderId="0" xfId="0" applyAlignment="1">
      <alignment horizontal="center"/>
    </xf>
    <xf numFmtId="3" fontId="3" fillId="0" borderId="10" xfId="0" applyNumberFormat="1" applyFont="1" applyFill="1" applyBorder="1" applyAlignment="1">
      <alignment horizontal="center" vertical="center" wrapText="1"/>
    </xf>
    <xf numFmtId="3" fontId="3" fillId="0" borderId="17" xfId="0" applyNumberFormat="1" applyFont="1" applyFill="1" applyBorder="1" applyAlignment="1">
      <alignment horizontal="center" vertical="center" wrapText="1"/>
    </xf>
    <xf numFmtId="3" fontId="10" fillId="0" borderId="17" xfId="0" applyNumberFormat="1" applyFont="1" applyFill="1" applyBorder="1" applyAlignment="1">
      <alignment/>
    </xf>
    <xf numFmtId="3" fontId="11" fillId="0" borderId="17" xfId="0" applyNumberFormat="1" applyFont="1" applyFill="1" applyBorder="1" applyAlignment="1">
      <alignment vertical="center" wrapText="1"/>
    </xf>
    <xf numFmtId="3" fontId="7" fillId="0" borderId="17" xfId="0" applyNumberFormat="1" applyFont="1" applyFill="1" applyBorder="1" applyAlignment="1">
      <alignment vertical="center" wrapText="1"/>
    </xf>
    <xf numFmtId="3" fontId="3" fillId="0" borderId="17" xfId="0" applyNumberFormat="1" applyFont="1" applyFill="1" applyBorder="1" applyAlignment="1">
      <alignment vertical="center" wrapText="1"/>
    </xf>
    <xf numFmtId="169" fontId="4" fillId="0" borderId="17" xfId="0" applyNumberFormat="1" applyFont="1" applyFill="1" applyBorder="1" applyAlignment="1">
      <alignment vertical="center" wrapText="1"/>
    </xf>
    <xf numFmtId="3" fontId="4" fillId="0" borderId="17" xfId="0" applyNumberFormat="1" applyFont="1" applyFill="1" applyBorder="1" applyAlignment="1">
      <alignment vertical="center" wrapText="1"/>
    </xf>
    <xf numFmtId="3" fontId="12" fillId="0" borderId="17" xfId="0" applyNumberFormat="1" applyFont="1" applyFill="1" applyBorder="1" applyAlignment="1">
      <alignment vertical="center" wrapText="1"/>
    </xf>
    <xf numFmtId="3" fontId="14" fillId="0" borderId="17" xfId="0" applyNumberFormat="1" applyFont="1" applyFill="1" applyBorder="1" applyAlignment="1">
      <alignment vertical="center" wrapText="1"/>
    </xf>
    <xf numFmtId="3" fontId="6" fillId="0" borderId="17" xfId="0" applyNumberFormat="1" applyFont="1" applyFill="1" applyBorder="1" applyAlignment="1">
      <alignment vertical="center" wrapText="1"/>
    </xf>
    <xf numFmtId="0" fontId="4" fillId="0" borderId="18" xfId="0" applyFont="1" applyFill="1" applyBorder="1" applyAlignment="1">
      <alignment/>
    </xf>
    <xf numFmtId="0" fontId="3" fillId="0" borderId="18" xfId="0" applyFont="1" applyFill="1" applyBorder="1" applyAlignment="1">
      <alignment horizontal="center" vertical="center" wrapText="1"/>
    </xf>
    <xf numFmtId="0" fontId="10" fillId="0" borderId="18" xfId="0" applyFont="1" applyFill="1" applyBorder="1" applyAlignment="1">
      <alignment/>
    </xf>
    <xf numFmtId="0" fontId="11" fillId="0" borderId="18" xfId="0" applyFont="1" applyFill="1" applyBorder="1" applyAlignment="1">
      <alignment vertical="center" wrapText="1"/>
    </xf>
    <xf numFmtId="0" fontId="3" fillId="0" borderId="18" xfId="0" applyFont="1" applyFill="1" applyBorder="1" applyAlignment="1">
      <alignment vertical="center" wrapText="1"/>
    </xf>
    <xf numFmtId="0" fontId="12" fillId="0" borderId="18" xfId="0" applyFont="1" applyFill="1" applyBorder="1" applyAlignment="1">
      <alignment vertical="center" wrapText="1"/>
    </xf>
    <xf numFmtId="0" fontId="4" fillId="0" borderId="18" xfId="0" applyFont="1" applyFill="1" applyBorder="1" applyAlignment="1">
      <alignment vertical="center" wrapText="1"/>
    </xf>
    <xf numFmtId="0" fontId="12" fillId="0" borderId="0" xfId="0" applyFont="1" applyFill="1" applyBorder="1" applyAlignment="1">
      <alignment vertical="center" wrapText="1"/>
    </xf>
    <xf numFmtId="3" fontId="3" fillId="0" borderId="18" xfId="0" applyNumberFormat="1" applyFont="1" applyFill="1" applyBorder="1" applyAlignment="1">
      <alignment vertical="center" wrapText="1"/>
    </xf>
    <xf numFmtId="0" fontId="3" fillId="0" borderId="0" xfId="0" applyFont="1" applyFill="1" applyBorder="1" applyAlignment="1">
      <alignment vertical="center" wrapText="1"/>
    </xf>
    <xf numFmtId="0" fontId="14" fillId="0" borderId="18" xfId="0" applyFont="1" applyFill="1" applyBorder="1" applyAlignment="1">
      <alignment vertical="center" wrapText="1"/>
    </xf>
    <xf numFmtId="0" fontId="6" fillId="0" borderId="18" xfId="0" applyFont="1" applyFill="1" applyBorder="1" applyAlignment="1">
      <alignment vertical="center" wrapText="1"/>
    </xf>
    <xf numFmtId="0" fontId="6" fillId="0" borderId="18" xfId="0" applyFont="1" applyFill="1" applyBorder="1" applyAlignment="1">
      <alignment/>
    </xf>
    <xf numFmtId="0" fontId="3" fillId="0" borderId="18" xfId="0" applyFont="1" applyFill="1" applyBorder="1" applyAlignment="1">
      <alignment/>
    </xf>
    <xf numFmtId="0" fontId="3" fillId="0" borderId="0" xfId="0" applyFont="1" applyFill="1" applyBorder="1" applyAlignment="1">
      <alignment horizontal="center" vertical="center" wrapText="1"/>
    </xf>
    <xf numFmtId="0" fontId="10" fillId="0" borderId="0" xfId="0" applyFont="1" applyFill="1" applyBorder="1" applyAlignment="1">
      <alignment/>
    </xf>
    <xf numFmtId="0" fontId="11" fillId="0" borderId="0" xfId="0" applyFont="1" applyFill="1" applyBorder="1" applyAlignment="1">
      <alignment vertical="center" wrapText="1"/>
    </xf>
    <xf numFmtId="0" fontId="14" fillId="0" borderId="0" xfId="0" applyFont="1" applyFill="1" applyBorder="1" applyAlignment="1">
      <alignment vertical="center" wrapText="1"/>
    </xf>
  </cellXfs>
  <cellStyles count="6">
    <cellStyle name="Normal" xfId="0"/>
    <cellStyle name="Comma" xfId="16"/>
    <cellStyle name="Comma [0]" xfId="17"/>
    <cellStyle name="Currency" xfId="18"/>
    <cellStyle name="Currency [0]"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101"/>
  <sheetViews>
    <sheetView tabSelected="1" workbookViewId="0" topLeftCell="A16">
      <selection activeCell="E8" sqref="E8"/>
    </sheetView>
  </sheetViews>
  <sheetFormatPr defaultColWidth="9.140625" defaultRowHeight="12.75"/>
  <cols>
    <col min="1" max="1" width="6.00390625" style="176" customWidth="1"/>
    <col min="2" max="2" width="55.421875" style="0" customWidth="1"/>
    <col min="3" max="3" width="11.8515625" style="0" customWidth="1"/>
    <col min="4" max="4" width="11.28125" style="0" customWidth="1"/>
    <col min="5" max="5" width="14.28125" style="0" customWidth="1"/>
    <col min="6" max="6" width="14.00390625" style="0" hidden="1" customWidth="1"/>
    <col min="7" max="7" width="12.421875" style="0" hidden="1" customWidth="1"/>
    <col min="8" max="8" width="11.57421875" style="0" hidden="1" customWidth="1"/>
    <col min="9" max="9" width="9.28125" style="0" customWidth="1"/>
    <col min="10" max="10" width="10.00390625" style="0" customWidth="1"/>
    <col min="15" max="15" width="8.57421875" style="0" customWidth="1"/>
  </cols>
  <sheetData>
    <row r="1" spans="1:12" ht="16.5" customHeight="1">
      <c r="A1" s="90" t="s">
        <v>2</v>
      </c>
      <c r="B1" s="100"/>
      <c r="C1" s="101"/>
      <c r="D1" s="101"/>
      <c r="E1" s="86"/>
      <c r="F1" s="86"/>
      <c r="G1" s="102" t="s">
        <v>246</v>
      </c>
      <c r="H1" s="102"/>
      <c r="I1" s="102"/>
      <c r="J1" s="102"/>
      <c r="K1" s="86"/>
      <c r="L1" s="86"/>
    </row>
    <row r="2" spans="1:12" ht="16.5" customHeight="1">
      <c r="A2" s="148" t="s">
        <v>142</v>
      </c>
      <c r="B2" s="148"/>
      <c r="C2" s="148"/>
      <c r="D2" s="148"/>
      <c r="E2" s="148"/>
      <c r="F2" s="148"/>
      <c r="G2" s="148"/>
      <c r="H2" s="148"/>
      <c r="I2" s="148"/>
      <c r="J2" s="148"/>
      <c r="K2" s="86"/>
      <c r="L2" s="86"/>
    </row>
    <row r="3" spans="1:12" ht="16.5" customHeight="1">
      <c r="A3" s="103"/>
      <c r="B3" s="103"/>
      <c r="C3" s="103"/>
      <c r="D3" s="103"/>
      <c r="E3" s="103"/>
      <c r="F3" s="103"/>
      <c r="G3" s="103"/>
      <c r="H3" s="103"/>
      <c r="I3" s="104" t="s">
        <v>143</v>
      </c>
      <c r="J3" s="105"/>
      <c r="K3" s="106"/>
      <c r="L3" s="86"/>
    </row>
    <row r="4" spans="1:12" ht="18.75" customHeight="1">
      <c r="A4" s="149" t="s">
        <v>144</v>
      </c>
      <c r="B4" s="151" t="s">
        <v>145</v>
      </c>
      <c r="C4" s="145" t="s">
        <v>146</v>
      </c>
      <c r="D4" s="146"/>
      <c r="E4" s="139" t="s">
        <v>147</v>
      </c>
      <c r="F4" s="140"/>
      <c r="G4" s="140"/>
      <c r="H4" s="141"/>
      <c r="I4" s="145" t="s">
        <v>148</v>
      </c>
      <c r="J4" s="146"/>
      <c r="K4" s="109"/>
      <c r="L4" s="86"/>
    </row>
    <row r="5" spans="1:12" ht="18.75" customHeight="1">
      <c r="A5" s="150"/>
      <c r="B5" s="152"/>
      <c r="C5" s="110" t="s">
        <v>149</v>
      </c>
      <c r="D5" s="111" t="s">
        <v>150</v>
      </c>
      <c r="E5" s="142"/>
      <c r="F5" s="143"/>
      <c r="G5" s="143"/>
      <c r="H5" s="144"/>
      <c r="I5" s="112" t="s">
        <v>149</v>
      </c>
      <c r="J5" s="111" t="s">
        <v>150</v>
      </c>
      <c r="K5" s="109"/>
      <c r="L5" s="86"/>
    </row>
    <row r="6" spans="1:12" ht="18.75" customHeight="1">
      <c r="A6" s="113"/>
      <c r="B6" s="113" t="s">
        <v>151</v>
      </c>
      <c r="C6" s="114">
        <f aca="true" t="shared" si="0" ref="C6:H6">SUM(C7,C57,C82)</f>
        <v>5530685</v>
      </c>
      <c r="D6" s="114">
        <f t="shared" si="0"/>
        <v>5737484</v>
      </c>
      <c r="E6" s="115">
        <f t="shared" si="0"/>
        <v>8138911.029999999</v>
      </c>
      <c r="F6" s="114">
        <f t="shared" si="0"/>
        <v>3979441.8400000003</v>
      </c>
      <c r="G6" s="114">
        <f t="shared" si="0"/>
        <v>3602319.3699999996</v>
      </c>
      <c r="H6" s="114">
        <f t="shared" si="0"/>
        <v>557149.8200000001</v>
      </c>
      <c r="I6" s="116">
        <f>SUM(E6/C6)</f>
        <v>1.4715918606827183</v>
      </c>
      <c r="J6" s="117">
        <f>SUM(E6/D6)</f>
        <v>1.4185505406202439</v>
      </c>
      <c r="K6" s="109"/>
      <c r="L6" s="86"/>
    </row>
    <row r="7" spans="1:12" ht="18.75" customHeight="1">
      <c r="A7" s="169" t="s">
        <v>22</v>
      </c>
      <c r="B7" s="118" t="s">
        <v>152</v>
      </c>
      <c r="C7" s="119">
        <f aca="true" t="shared" si="1" ref="C7:H7">SUM(C8,C18:C19,C53:C56)</f>
        <v>5530685</v>
      </c>
      <c r="D7" s="119">
        <f t="shared" si="1"/>
        <v>5530684</v>
      </c>
      <c r="E7" s="120">
        <f t="shared" si="1"/>
        <v>7742812.709999999</v>
      </c>
      <c r="F7" s="120">
        <f t="shared" si="1"/>
        <v>3677423.2800000003</v>
      </c>
      <c r="G7" s="120">
        <f t="shared" si="1"/>
        <v>3513168.6799999997</v>
      </c>
      <c r="H7" s="120">
        <f t="shared" si="1"/>
        <v>552220.75</v>
      </c>
      <c r="I7" s="121">
        <f>SUM(E7/C7)</f>
        <v>1.3999735493885475</v>
      </c>
      <c r="J7" s="121">
        <f>SUM(E7/D7)</f>
        <v>1.399973802517012</v>
      </c>
      <c r="K7" s="109"/>
      <c r="L7" s="86"/>
    </row>
    <row r="8" spans="1:12" ht="18.75" customHeight="1">
      <c r="A8" s="170">
        <v>1</v>
      </c>
      <c r="B8" s="129" t="s">
        <v>153</v>
      </c>
      <c r="C8" s="123">
        <f aca="true" t="shared" si="2" ref="C8:H8">SUM(C9,C17)</f>
        <v>1124923</v>
      </c>
      <c r="D8" s="123">
        <f t="shared" si="2"/>
        <v>1073063</v>
      </c>
      <c r="E8" s="124">
        <f t="shared" si="2"/>
        <v>1457065.52</v>
      </c>
      <c r="F8" s="124">
        <f t="shared" si="2"/>
        <v>1021138.68</v>
      </c>
      <c r="G8" s="124">
        <f t="shared" si="2"/>
        <v>407831.52</v>
      </c>
      <c r="H8" s="124">
        <f t="shared" si="2"/>
        <v>28095.32</v>
      </c>
      <c r="I8" s="125">
        <f>SUM(E8/C8)</f>
        <v>1.2952580043256294</v>
      </c>
      <c r="J8" s="125">
        <f>SUM(E8/D8)</f>
        <v>1.3578564539081117</v>
      </c>
      <c r="K8" s="109"/>
      <c r="L8" s="86"/>
    </row>
    <row r="9" spans="1:12" ht="18.75" customHeight="1">
      <c r="A9" s="171" t="s">
        <v>27</v>
      </c>
      <c r="B9" s="122" t="s">
        <v>154</v>
      </c>
      <c r="C9" s="123">
        <v>1124023</v>
      </c>
      <c r="D9" s="123">
        <v>1070163</v>
      </c>
      <c r="E9" s="124">
        <f>SUM(E12,E14:E16)</f>
        <v>1453505.52</v>
      </c>
      <c r="F9" s="124">
        <f>SUM(F12,F14:F16)</f>
        <v>1018238.68</v>
      </c>
      <c r="G9" s="124">
        <f>SUM(G12,G14:G16)</f>
        <v>407171.52</v>
      </c>
      <c r="H9" s="124">
        <f>SUM(H12,H14:H16)</f>
        <v>28095.32</v>
      </c>
      <c r="I9" s="125">
        <f>SUM(E9/C9)</f>
        <v>1.2931279164216392</v>
      </c>
      <c r="J9" s="125">
        <f>SUM(E9/D9)</f>
        <v>1.358209469024812</v>
      </c>
      <c r="K9" s="109"/>
      <c r="L9" s="86"/>
    </row>
    <row r="10" spans="1:12" ht="18.75" customHeight="1">
      <c r="A10" s="171"/>
      <c r="B10" s="122" t="s">
        <v>155</v>
      </c>
      <c r="C10" s="123">
        <v>54000</v>
      </c>
      <c r="D10" s="123">
        <v>54000</v>
      </c>
      <c r="E10" s="124">
        <f aca="true" t="shared" si="3" ref="E10:E18">SUM(F10:H10)</f>
        <v>0</v>
      </c>
      <c r="F10" s="124"/>
      <c r="G10" s="124"/>
      <c r="H10" s="124"/>
      <c r="I10" s="125"/>
      <c r="J10" s="125"/>
      <c r="K10" s="109"/>
      <c r="L10" s="86"/>
    </row>
    <row r="11" spans="1:12" ht="18.75" customHeight="1">
      <c r="A11" s="171"/>
      <c r="B11" s="122" t="s">
        <v>156</v>
      </c>
      <c r="C11" s="123">
        <v>9000</v>
      </c>
      <c r="D11" s="123">
        <v>9130</v>
      </c>
      <c r="E11" s="124">
        <f t="shared" si="3"/>
        <v>0</v>
      </c>
      <c r="F11" s="124"/>
      <c r="G11" s="126"/>
      <c r="H11" s="124"/>
      <c r="I11" s="125"/>
      <c r="J11" s="125"/>
      <c r="K11" s="109"/>
      <c r="L11" s="86"/>
    </row>
    <row r="12" spans="1:12" ht="18.75" customHeight="1">
      <c r="A12" s="171"/>
      <c r="B12" s="122" t="s">
        <v>157</v>
      </c>
      <c r="C12" s="123">
        <v>1097023</v>
      </c>
      <c r="D12" s="123">
        <v>1054738</v>
      </c>
      <c r="E12" s="124">
        <f t="shared" si="3"/>
        <v>1358595.86</v>
      </c>
      <c r="F12" s="124">
        <v>924055.14</v>
      </c>
      <c r="G12" s="124">
        <v>406445.4</v>
      </c>
      <c r="H12" s="124">
        <v>28095.32</v>
      </c>
      <c r="I12" s="125">
        <f>SUM(E12/C12)</f>
        <v>1.2384388112190903</v>
      </c>
      <c r="J12" s="125">
        <f>SUM(E12/D12)</f>
        <v>1.2880884731563669</v>
      </c>
      <c r="K12" s="109"/>
      <c r="L12" s="86"/>
    </row>
    <row r="13" spans="1:12" ht="18.75" customHeight="1">
      <c r="A13" s="171"/>
      <c r="B13" s="122" t="s">
        <v>158</v>
      </c>
      <c r="C13" s="123"/>
      <c r="D13" s="123"/>
      <c r="E13" s="124">
        <f t="shared" si="3"/>
        <v>0</v>
      </c>
      <c r="F13" s="124"/>
      <c r="G13" s="124"/>
      <c r="H13" s="124"/>
      <c r="I13" s="125"/>
      <c r="J13" s="125"/>
      <c r="K13" s="109"/>
      <c r="L13" s="86"/>
    </row>
    <row r="14" spans="1:12" ht="18.75" customHeight="1">
      <c r="A14" s="171"/>
      <c r="B14" s="122" t="s">
        <v>159</v>
      </c>
      <c r="C14" s="122"/>
      <c r="D14" s="123"/>
      <c r="E14" s="124">
        <f t="shared" si="3"/>
        <v>92409.66</v>
      </c>
      <c r="F14" s="124">
        <f>63498.16+28185.38</f>
        <v>91683.54000000001</v>
      </c>
      <c r="G14" s="124">
        <v>726.12</v>
      </c>
      <c r="H14" s="124"/>
      <c r="I14" s="125"/>
      <c r="J14" s="125"/>
      <c r="K14" s="109"/>
      <c r="L14" s="86"/>
    </row>
    <row r="15" spans="1:12" ht="18.75" customHeight="1">
      <c r="A15" s="171"/>
      <c r="B15" s="122" t="s">
        <v>160</v>
      </c>
      <c r="C15" s="123">
        <v>17000</v>
      </c>
      <c r="D15" s="123">
        <v>14075</v>
      </c>
      <c r="E15" s="124">
        <f t="shared" si="3"/>
        <v>0</v>
      </c>
      <c r="F15" s="124"/>
      <c r="G15" s="124"/>
      <c r="H15" s="124"/>
      <c r="I15" s="125"/>
      <c r="J15" s="125"/>
      <c r="K15" s="109"/>
      <c r="L15" s="86"/>
    </row>
    <row r="16" spans="1:12" ht="18.75" customHeight="1">
      <c r="A16" s="171"/>
      <c r="B16" s="122" t="s">
        <v>161</v>
      </c>
      <c r="C16" s="123"/>
      <c r="D16" s="123"/>
      <c r="E16" s="124">
        <f t="shared" si="3"/>
        <v>2500</v>
      </c>
      <c r="F16" s="124">
        <v>2500</v>
      </c>
      <c r="G16" s="124"/>
      <c r="H16" s="124"/>
      <c r="I16" s="125"/>
      <c r="J16" s="125"/>
      <c r="K16" s="109"/>
      <c r="L16" s="86"/>
    </row>
    <row r="17" spans="1:12" ht="18.75" customHeight="1">
      <c r="A17" s="171" t="s">
        <v>35</v>
      </c>
      <c r="B17" s="122" t="s">
        <v>162</v>
      </c>
      <c r="C17" s="123">
        <v>900</v>
      </c>
      <c r="D17" s="123">
        <v>2900</v>
      </c>
      <c r="E17" s="123">
        <f t="shared" si="3"/>
        <v>3560</v>
      </c>
      <c r="F17" s="123">
        <v>2900</v>
      </c>
      <c r="G17" s="124">
        <v>660</v>
      </c>
      <c r="H17" s="124"/>
      <c r="I17" s="125">
        <f>SUM(E17/C17)</f>
        <v>3.9555555555555557</v>
      </c>
      <c r="J17" s="125">
        <f aca="true" t="shared" si="4" ref="J17:J28">SUM(E17/D17)</f>
        <v>1.2275862068965517</v>
      </c>
      <c r="K17" s="109"/>
      <c r="L17" s="86"/>
    </row>
    <row r="18" spans="1:12" ht="18.75" customHeight="1">
      <c r="A18" s="170">
        <v>2</v>
      </c>
      <c r="B18" s="129" t="s">
        <v>163</v>
      </c>
      <c r="C18" s="122"/>
      <c r="D18" s="123">
        <v>42285</v>
      </c>
      <c r="E18" s="124">
        <f t="shared" si="3"/>
        <v>39363.83</v>
      </c>
      <c r="F18" s="124">
        <v>39363.83</v>
      </c>
      <c r="G18" s="124"/>
      <c r="H18" s="124"/>
      <c r="I18" s="125"/>
      <c r="J18" s="125">
        <f t="shared" si="4"/>
        <v>0.930917110086319</v>
      </c>
      <c r="K18" s="109"/>
      <c r="L18" s="86"/>
    </row>
    <row r="19" spans="1:12" ht="18.75" customHeight="1">
      <c r="A19" s="170">
        <v>3</v>
      </c>
      <c r="B19" s="129" t="s">
        <v>164</v>
      </c>
      <c r="C19" s="123">
        <v>4300552</v>
      </c>
      <c r="D19" s="123">
        <f>SUM(D20,D23,D27,D30:D35,D41:D43,D47)</f>
        <v>4310126</v>
      </c>
      <c r="E19" s="124">
        <f>SUM(E20,E23,E27,E30:E35,E41,E42:E43,E47)</f>
        <v>5116436.68</v>
      </c>
      <c r="F19" s="124">
        <f>SUM(F20,F23,F27,F30:F35,F41,F42:F43,F47)</f>
        <v>1770041.2800000003</v>
      </c>
      <c r="G19" s="124">
        <f>SUM(G20,G23,G27,G30:G35,G41,G42:G43,G47)</f>
        <v>2848570.53</v>
      </c>
      <c r="H19" s="124">
        <f>SUM(H20,H23,H27,H30:H35,H41,H42:H43,H47)</f>
        <v>497824.87</v>
      </c>
      <c r="I19" s="125">
        <f>SUM(E19/C19)</f>
        <v>1.1897162689812841</v>
      </c>
      <c r="J19" s="125">
        <f t="shared" si="4"/>
        <v>1.187073575111261</v>
      </c>
      <c r="K19" s="109"/>
      <c r="L19" s="86"/>
    </row>
    <row r="20" spans="1:12" ht="18.75" customHeight="1">
      <c r="A20" s="171" t="s">
        <v>45</v>
      </c>
      <c r="B20" s="122" t="s">
        <v>165</v>
      </c>
      <c r="C20" s="123"/>
      <c r="D20" s="123">
        <f aca="true" t="shared" si="5" ref="D20:I20">SUM(D21:D22)</f>
        <v>116247</v>
      </c>
      <c r="E20" s="123">
        <f t="shared" si="5"/>
        <v>145974.91999999998</v>
      </c>
      <c r="F20" s="124">
        <f t="shared" si="5"/>
        <v>56737.87</v>
      </c>
      <c r="G20" s="124">
        <f t="shared" si="5"/>
        <v>39940.31</v>
      </c>
      <c r="H20" s="124">
        <f t="shared" si="5"/>
        <v>49296.740000000005</v>
      </c>
      <c r="I20" s="124">
        <f t="shared" si="5"/>
        <v>0</v>
      </c>
      <c r="J20" s="125">
        <f t="shared" si="4"/>
        <v>1.2557306425112045</v>
      </c>
      <c r="K20" s="109"/>
      <c r="L20" s="86"/>
    </row>
    <row r="21" spans="1:12" ht="18.75" customHeight="1">
      <c r="A21" s="171"/>
      <c r="B21" s="122" t="s">
        <v>166</v>
      </c>
      <c r="C21" s="123"/>
      <c r="D21" s="123">
        <v>48440</v>
      </c>
      <c r="E21" s="124">
        <f>SUM(F21:H21)</f>
        <v>45326.56</v>
      </c>
      <c r="F21" s="124">
        <v>15349</v>
      </c>
      <c r="G21" s="124">
        <v>10130.4</v>
      </c>
      <c r="H21" s="124">
        <v>19847.16</v>
      </c>
      <c r="I21" s="125"/>
      <c r="J21" s="125">
        <f t="shared" si="4"/>
        <v>0.9357258464079273</v>
      </c>
      <c r="K21" s="109"/>
      <c r="L21" s="86"/>
    </row>
    <row r="22" spans="1:12" ht="18.75" customHeight="1">
      <c r="A22" s="171"/>
      <c r="B22" s="122" t="s">
        <v>167</v>
      </c>
      <c r="C22" s="123"/>
      <c r="D22" s="123">
        <v>67807</v>
      </c>
      <c r="E22" s="124">
        <f>SUM(F22:H22)</f>
        <v>100648.36</v>
      </c>
      <c r="F22" s="124">
        <v>41388.87</v>
      </c>
      <c r="G22" s="124">
        <v>29809.91</v>
      </c>
      <c r="H22" s="124">
        <v>29449.58</v>
      </c>
      <c r="I22" s="125"/>
      <c r="J22" s="125">
        <f t="shared" si="4"/>
        <v>1.4843358355332046</v>
      </c>
      <c r="K22" s="109"/>
      <c r="L22" s="86"/>
    </row>
    <row r="23" spans="1:12" ht="18.75" customHeight="1">
      <c r="A23" s="171" t="s">
        <v>51</v>
      </c>
      <c r="B23" s="122" t="s">
        <v>168</v>
      </c>
      <c r="C23" s="123">
        <f aca="true" t="shared" si="6" ref="C23:H23">SUM(C24:C26)</f>
        <v>2083023</v>
      </c>
      <c r="D23" s="123">
        <f t="shared" si="6"/>
        <v>2133432</v>
      </c>
      <c r="E23" s="124">
        <f t="shared" si="6"/>
        <v>2454527.7099999995</v>
      </c>
      <c r="F23" s="124">
        <f t="shared" si="6"/>
        <v>437415.47</v>
      </c>
      <c r="G23" s="124">
        <f t="shared" si="6"/>
        <v>2016041.3199999998</v>
      </c>
      <c r="H23" s="124">
        <f t="shared" si="6"/>
        <v>1070.92</v>
      </c>
      <c r="I23" s="127">
        <f>SUM(E23/C23)</f>
        <v>1.1783488276413652</v>
      </c>
      <c r="J23" s="125">
        <f t="shared" si="4"/>
        <v>1.1505066531297925</v>
      </c>
      <c r="K23" s="109"/>
      <c r="L23" s="86"/>
    </row>
    <row r="24" spans="1:12" ht="18.75" customHeight="1">
      <c r="A24" s="172"/>
      <c r="B24" s="122" t="s">
        <v>169</v>
      </c>
      <c r="C24" s="123">
        <v>2072880</v>
      </c>
      <c r="D24" s="123">
        <v>2014116</v>
      </c>
      <c r="E24" s="124">
        <f aca="true" t="shared" si="7" ref="E24:E34">SUM(F24:H24)</f>
        <v>2317862.9299999997</v>
      </c>
      <c r="F24" s="124">
        <v>340374.74</v>
      </c>
      <c r="G24" s="124">
        <v>1977481.98</v>
      </c>
      <c r="H24" s="124">
        <v>6.21</v>
      </c>
      <c r="I24" s="125"/>
      <c r="J24" s="125">
        <f t="shared" si="4"/>
        <v>1.1508090546919838</v>
      </c>
      <c r="K24" s="109"/>
      <c r="L24" s="86"/>
    </row>
    <row r="25" spans="1:12" ht="18.75" customHeight="1">
      <c r="A25" s="171"/>
      <c r="B25" s="122" t="s">
        <v>170</v>
      </c>
      <c r="C25" s="122">
        <v>8500</v>
      </c>
      <c r="D25" s="123">
        <v>109173</v>
      </c>
      <c r="E25" s="124">
        <f t="shared" si="7"/>
        <v>120664.38</v>
      </c>
      <c r="F25" s="124">
        <v>88840.48</v>
      </c>
      <c r="G25" s="124">
        <v>30844.19</v>
      </c>
      <c r="H25" s="124">
        <v>979.71</v>
      </c>
      <c r="I25" s="125"/>
      <c r="J25" s="125">
        <f t="shared" si="4"/>
        <v>1.1052584430216263</v>
      </c>
      <c r="K25" s="109"/>
      <c r="L25" s="86"/>
    </row>
    <row r="26" spans="1:12" ht="18.75" customHeight="1">
      <c r="A26" s="171"/>
      <c r="B26" s="122" t="s">
        <v>171</v>
      </c>
      <c r="C26" s="123">
        <v>1643</v>
      </c>
      <c r="D26" s="123">
        <v>10143</v>
      </c>
      <c r="E26" s="124">
        <f t="shared" si="7"/>
        <v>16000.4</v>
      </c>
      <c r="F26" s="124">
        <v>8200.25</v>
      </c>
      <c r="G26" s="124">
        <v>7715.15</v>
      </c>
      <c r="H26" s="124">
        <v>85</v>
      </c>
      <c r="I26" s="125"/>
      <c r="J26" s="125">
        <f t="shared" si="4"/>
        <v>1.577482007295672</v>
      </c>
      <c r="K26" s="109"/>
      <c r="L26" s="86"/>
    </row>
    <row r="27" spans="1:12" ht="18.75" customHeight="1">
      <c r="A27" s="171" t="s">
        <v>172</v>
      </c>
      <c r="B27" s="122" t="s">
        <v>173</v>
      </c>
      <c r="C27" s="123">
        <v>18370</v>
      </c>
      <c r="D27" s="123">
        <v>450906</v>
      </c>
      <c r="E27" s="124">
        <f t="shared" si="7"/>
        <v>568103.47</v>
      </c>
      <c r="F27" s="124">
        <v>567187.97</v>
      </c>
      <c r="G27" s="124">
        <v>915.5</v>
      </c>
      <c r="H27" s="124"/>
      <c r="I27" s="125"/>
      <c r="J27" s="125">
        <f t="shared" si="4"/>
        <v>1.2599155256306191</v>
      </c>
      <c r="K27" s="109"/>
      <c r="L27" s="86"/>
    </row>
    <row r="28" spans="1:12" ht="18.75" customHeight="1">
      <c r="A28" s="171"/>
      <c r="B28" s="122" t="s">
        <v>174</v>
      </c>
      <c r="C28" s="123"/>
      <c r="D28" s="123">
        <v>124749</v>
      </c>
      <c r="E28" s="124">
        <f t="shared" si="7"/>
        <v>176875.91</v>
      </c>
      <c r="F28" s="124">
        <v>176875.91</v>
      </c>
      <c r="G28" s="124"/>
      <c r="H28" s="124"/>
      <c r="I28" s="125"/>
      <c r="J28" s="125">
        <f t="shared" si="4"/>
        <v>1.4178543314976473</v>
      </c>
      <c r="K28" s="109"/>
      <c r="L28" s="86"/>
    </row>
    <row r="29" spans="1:12" ht="18.75" customHeight="1">
      <c r="A29" s="171"/>
      <c r="B29" s="122" t="s">
        <v>247</v>
      </c>
      <c r="C29" s="123"/>
      <c r="D29" s="123">
        <v>31342</v>
      </c>
      <c r="E29" s="124">
        <f t="shared" si="7"/>
        <v>46938</v>
      </c>
      <c r="F29" s="124">
        <v>46938</v>
      </c>
      <c r="G29" s="124"/>
      <c r="H29" s="124"/>
      <c r="I29" s="125"/>
      <c r="J29" s="125"/>
      <c r="K29" s="109"/>
      <c r="L29" s="86"/>
    </row>
    <row r="30" spans="1:12" ht="18.75" customHeight="1">
      <c r="A30" s="171" t="s">
        <v>175</v>
      </c>
      <c r="B30" s="122" t="s">
        <v>176</v>
      </c>
      <c r="C30" s="123">
        <v>11604</v>
      </c>
      <c r="D30" s="123">
        <v>11591</v>
      </c>
      <c r="E30" s="124">
        <f t="shared" si="7"/>
        <v>11823.58</v>
      </c>
      <c r="F30" s="124">
        <v>11823.58</v>
      </c>
      <c r="G30" s="124"/>
      <c r="H30" s="124"/>
      <c r="I30" s="125">
        <f>SUM(E30/C30)</f>
        <v>1.0189227852464666</v>
      </c>
      <c r="J30" s="125">
        <f aca="true" t="shared" si="8" ref="J30:J46">SUM(E30/D30)</f>
        <v>1.0200655681131912</v>
      </c>
      <c r="K30" s="109"/>
      <c r="L30" s="86"/>
    </row>
    <row r="31" spans="1:12" ht="18.75" customHeight="1">
      <c r="A31" s="171" t="s">
        <v>177</v>
      </c>
      <c r="B31" s="122" t="s">
        <v>178</v>
      </c>
      <c r="C31" s="123">
        <v>12621</v>
      </c>
      <c r="D31" s="123">
        <v>50691</v>
      </c>
      <c r="E31" s="124">
        <f t="shared" si="7"/>
        <v>65472.49</v>
      </c>
      <c r="F31" s="124">
        <v>43978.59</v>
      </c>
      <c r="G31" s="124">
        <v>17538.63</v>
      </c>
      <c r="H31" s="124">
        <v>3955.27</v>
      </c>
      <c r="I31" s="125"/>
      <c r="J31" s="125">
        <f t="shared" si="8"/>
        <v>1.2915998895267404</v>
      </c>
      <c r="K31" s="109"/>
      <c r="L31" s="86"/>
    </row>
    <row r="32" spans="1:12" ht="18.75" customHeight="1">
      <c r="A32" s="171" t="s">
        <v>179</v>
      </c>
      <c r="B32" s="122" t="s">
        <v>180</v>
      </c>
      <c r="C32" s="123"/>
      <c r="D32" s="123">
        <v>26684</v>
      </c>
      <c r="E32" s="124">
        <f t="shared" si="7"/>
        <v>33285.38</v>
      </c>
      <c r="F32" s="124">
        <v>20358.66</v>
      </c>
      <c r="G32" s="124">
        <v>12926.72</v>
      </c>
      <c r="H32" s="124"/>
      <c r="I32" s="125"/>
      <c r="J32" s="125">
        <f t="shared" si="8"/>
        <v>1.2473909458851746</v>
      </c>
      <c r="K32" s="109"/>
      <c r="L32" s="86"/>
    </row>
    <row r="33" spans="1:12" ht="18.75" customHeight="1">
      <c r="A33" s="171" t="s">
        <v>181</v>
      </c>
      <c r="B33" s="122" t="s">
        <v>182</v>
      </c>
      <c r="C33" s="123"/>
      <c r="D33" s="123">
        <v>10323</v>
      </c>
      <c r="E33" s="124">
        <f t="shared" si="7"/>
        <v>18907.63</v>
      </c>
      <c r="F33" s="124">
        <v>10527.2</v>
      </c>
      <c r="G33" s="124">
        <v>7607.45</v>
      </c>
      <c r="H33" s="124">
        <v>772.98</v>
      </c>
      <c r="I33" s="125"/>
      <c r="J33" s="125">
        <f t="shared" si="8"/>
        <v>1.831602247408699</v>
      </c>
      <c r="K33" s="109"/>
      <c r="L33" s="86"/>
    </row>
    <row r="34" spans="1:12" ht="18.75" customHeight="1">
      <c r="A34" s="171" t="s">
        <v>183</v>
      </c>
      <c r="B34" s="122" t="s">
        <v>184</v>
      </c>
      <c r="C34" s="123"/>
      <c r="D34" s="123">
        <v>95483</v>
      </c>
      <c r="E34" s="124">
        <f t="shared" si="7"/>
        <v>119407.12</v>
      </c>
      <c r="F34" s="124">
        <v>44924.85</v>
      </c>
      <c r="G34" s="124">
        <v>45508.21</v>
      </c>
      <c r="H34" s="124">
        <v>28974.06</v>
      </c>
      <c r="I34" s="125"/>
      <c r="J34" s="125">
        <f t="shared" si="8"/>
        <v>1.2505589476660766</v>
      </c>
      <c r="K34" s="109"/>
      <c r="L34" s="86"/>
    </row>
    <row r="35" spans="1:12" ht="18.75" customHeight="1">
      <c r="A35" s="171" t="s">
        <v>185</v>
      </c>
      <c r="B35" s="122" t="s">
        <v>186</v>
      </c>
      <c r="C35" s="123"/>
      <c r="D35" s="123">
        <f>SUM(D36,D37:D40)</f>
        <v>409269</v>
      </c>
      <c r="E35" s="124">
        <f>SUM(E36:E40)</f>
        <v>620930.9</v>
      </c>
      <c r="F35" s="124">
        <f>SUM(F36:F40)</f>
        <v>211635.34</v>
      </c>
      <c r="G35" s="124">
        <f>SUM(G36:G40)</f>
        <v>366151.07</v>
      </c>
      <c r="H35" s="124">
        <f>SUM(H36:H40)</f>
        <v>43144.490000000005</v>
      </c>
      <c r="I35" s="125"/>
      <c r="J35" s="125">
        <f t="shared" si="8"/>
        <v>1.5171706139482835</v>
      </c>
      <c r="K35" s="109"/>
      <c r="L35" s="86"/>
    </row>
    <row r="36" spans="1:12" ht="18.75" customHeight="1">
      <c r="A36" s="171"/>
      <c r="B36" s="122" t="s">
        <v>187</v>
      </c>
      <c r="C36" s="122"/>
      <c r="D36" s="123">
        <v>126895</v>
      </c>
      <c r="E36" s="124">
        <f aca="true" t="shared" si="9" ref="E36:E42">SUM(F36:H36)</f>
        <v>226797.89</v>
      </c>
      <c r="F36" s="124">
        <v>78376.89</v>
      </c>
      <c r="G36" s="124">
        <v>140702</v>
      </c>
      <c r="H36" s="124">
        <v>7719</v>
      </c>
      <c r="I36" s="125"/>
      <c r="J36" s="125">
        <f t="shared" si="8"/>
        <v>1.7872878364001734</v>
      </c>
      <c r="K36" s="109"/>
      <c r="L36" s="86"/>
    </row>
    <row r="37" spans="1:12" ht="18.75" customHeight="1">
      <c r="A37" s="171"/>
      <c r="B37" s="122" t="s">
        <v>188</v>
      </c>
      <c r="C37" s="122"/>
      <c r="D37" s="123">
        <v>53381</v>
      </c>
      <c r="E37" s="124">
        <f t="shared" si="9"/>
        <v>103208.75</v>
      </c>
      <c r="F37" s="124">
        <v>10790.63</v>
      </c>
      <c r="G37" s="124">
        <v>84498.31</v>
      </c>
      <c r="H37" s="124">
        <v>7919.81</v>
      </c>
      <c r="I37" s="125"/>
      <c r="J37" s="125">
        <f t="shared" si="8"/>
        <v>1.9334360540267137</v>
      </c>
      <c r="K37" s="109"/>
      <c r="L37" s="86"/>
    </row>
    <row r="38" spans="1:12" ht="18.75" customHeight="1">
      <c r="A38" s="171"/>
      <c r="B38" s="122" t="s">
        <v>189</v>
      </c>
      <c r="C38" s="122"/>
      <c r="D38" s="123">
        <v>1013</v>
      </c>
      <c r="E38" s="124">
        <f t="shared" si="9"/>
        <v>1149.64</v>
      </c>
      <c r="F38" s="124">
        <v>1149.64</v>
      </c>
      <c r="G38" s="124"/>
      <c r="H38" s="124"/>
      <c r="I38" s="125"/>
      <c r="J38" s="125">
        <f t="shared" si="8"/>
        <v>1.1348864758144128</v>
      </c>
      <c r="K38" s="109"/>
      <c r="L38" s="86"/>
    </row>
    <row r="39" spans="1:12" ht="18.75" customHeight="1">
      <c r="A39" s="171"/>
      <c r="B39" s="122" t="s">
        <v>190</v>
      </c>
      <c r="C39" s="122"/>
      <c r="D39" s="123">
        <v>37400</v>
      </c>
      <c r="E39" s="124">
        <f t="shared" si="9"/>
        <v>33849.48</v>
      </c>
      <c r="F39" s="124"/>
      <c r="G39" s="124">
        <v>33849.48</v>
      </c>
      <c r="H39" s="124"/>
      <c r="I39" s="125"/>
      <c r="J39" s="125">
        <f t="shared" si="8"/>
        <v>0.9050663101604279</v>
      </c>
      <c r="K39" s="109"/>
      <c r="L39" s="86"/>
    </row>
    <row r="40" spans="1:12" ht="18.75" customHeight="1">
      <c r="A40" s="171"/>
      <c r="B40" s="122" t="s">
        <v>191</v>
      </c>
      <c r="C40" s="123">
        <v>77696</v>
      </c>
      <c r="D40" s="123">
        <v>190580</v>
      </c>
      <c r="E40" s="124">
        <f t="shared" si="9"/>
        <v>255925.13999999998</v>
      </c>
      <c r="F40" s="124">
        <v>121318.18</v>
      </c>
      <c r="G40" s="124">
        <v>107101.28</v>
      </c>
      <c r="H40" s="124">
        <v>27505.68</v>
      </c>
      <c r="I40" s="125"/>
      <c r="J40" s="125">
        <f t="shared" si="8"/>
        <v>1.3428751180606568</v>
      </c>
      <c r="K40" s="109"/>
      <c r="L40" s="86"/>
    </row>
    <row r="41" spans="1:12" ht="18.75" customHeight="1">
      <c r="A41" s="171" t="s">
        <v>192</v>
      </c>
      <c r="B41" s="122" t="s">
        <v>193</v>
      </c>
      <c r="C41" s="123">
        <v>25540</v>
      </c>
      <c r="D41" s="123">
        <v>30467</v>
      </c>
      <c r="E41" s="124">
        <f t="shared" si="9"/>
        <v>36745.83</v>
      </c>
      <c r="F41" s="124">
        <v>12777.59</v>
      </c>
      <c r="G41" s="124">
        <v>23714.24</v>
      </c>
      <c r="H41" s="124">
        <v>254</v>
      </c>
      <c r="I41" s="125">
        <f>SUM(E41/C41)</f>
        <v>1.4387560689115115</v>
      </c>
      <c r="J41" s="125">
        <f t="shared" si="8"/>
        <v>1.2060862572619555</v>
      </c>
      <c r="K41" s="109"/>
      <c r="L41" s="86"/>
    </row>
    <row r="42" spans="1:12" ht="18.75" customHeight="1">
      <c r="A42" s="171" t="s">
        <v>194</v>
      </c>
      <c r="B42" s="122" t="s">
        <v>195</v>
      </c>
      <c r="C42" s="123">
        <v>9960</v>
      </c>
      <c r="D42" s="123">
        <v>39249</v>
      </c>
      <c r="E42" s="124">
        <f t="shared" si="9"/>
        <v>31127.07</v>
      </c>
      <c r="F42" s="124">
        <v>8520</v>
      </c>
      <c r="G42" s="124">
        <v>21612.54</v>
      </c>
      <c r="H42" s="124">
        <v>994.53</v>
      </c>
      <c r="I42" s="125"/>
      <c r="J42" s="125">
        <f t="shared" si="8"/>
        <v>0.7930665749445845</v>
      </c>
      <c r="K42" s="109"/>
      <c r="L42" s="86"/>
    </row>
    <row r="43" spans="1:12" ht="18.75" customHeight="1">
      <c r="A43" s="171" t="s">
        <v>196</v>
      </c>
      <c r="B43" s="122" t="s">
        <v>197</v>
      </c>
      <c r="C43" s="123"/>
      <c r="D43" s="123">
        <f>SUM(D44:D46)</f>
        <v>767468</v>
      </c>
      <c r="E43" s="124">
        <f>SUM(E44:E46)</f>
        <v>997588.5900000001</v>
      </c>
      <c r="F43" s="124">
        <f>SUM(F44:F46)</f>
        <v>335417.38999999996</v>
      </c>
      <c r="G43" s="124">
        <f>SUM(G44:G46)</f>
        <v>293090.7</v>
      </c>
      <c r="H43" s="124">
        <f>SUM(H44:H46)</f>
        <v>369080.5</v>
      </c>
      <c r="I43" s="125"/>
      <c r="J43" s="125">
        <f t="shared" si="8"/>
        <v>1.2998438892566206</v>
      </c>
      <c r="K43" s="109"/>
      <c r="L43" s="86"/>
    </row>
    <row r="44" spans="1:12" ht="18.75" customHeight="1">
      <c r="A44" s="171"/>
      <c r="B44" s="122" t="s">
        <v>198</v>
      </c>
      <c r="C44" s="122"/>
      <c r="D44" s="123">
        <v>507907</v>
      </c>
      <c r="E44" s="124">
        <f>SUM(F44:H44)</f>
        <v>709877.9</v>
      </c>
      <c r="F44" s="124">
        <v>259215.65</v>
      </c>
      <c r="G44" s="124">
        <v>193386.73</v>
      </c>
      <c r="H44" s="124">
        <v>257275.52</v>
      </c>
      <c r="I44" s="125"/>
      <c r="J44" s="125">
        <f t="shared" si="8"/>
        <v>1.3976533105470097</v>
      </c>
      <c r="K44" s="109"/>
      <c r="L44" s="86"/>
    </row>
    <row r="45" spans="1:12" ht="18.75" customHeight="1">
      <c r="A45" s="171"/>
      <c r="B45" s="122" t="s">
        <v>199</v>
      </c>
      <c r="C45" s="122"/>
      <c r="D45" s="123">
        <v>253174</v>
      </c>
      <c r="E45" s="124">
        <f>SUM(F45:H45)</f>
        <v>279184.64999999997</v>
      </c>
      <c r="F45" s="124">
        <v>67765.7</v>
      </c>
      <c r="G45" s="124">
        <v>99613.97</v>
      </c>
      <c r="H45" s="124">
        <v>111804.98</v>
      </c>
      <c r="I45" s="125"/>
      <c r="J45" s="125">
        <f t="shared" si="8"/>
        <v>1.1027382353638209</v>
      </c>
      <c r="K45" s="109"/>
      <c r="L45" s="86"/>
    </row>
    <row r="46" spans="1:12" ht="18.75" customHeight="1">
      <c r="A46" s="171"/>
      <c r="B46" s="122" t="s">
        <v>200</v>
      </c>
      <c r="C46" s="122"/>
      <c r="D46" s="123">
        <v>6387</v>
      </c>
      <c r="E46" s="124">
        <f>SUM(F46:H46)</f>
        <v>8526.04</v>
      </c>
      <c r="F46" s="124">
        <v>8436.04</v>
      </c>
      <c r="G46" s="124">
        <v>90</v>
      </c>
      <c r="H46" s="124"/>
      <c r="I46" s="125"/>
      <c r="J46" s="125">
        <f t="shared" si="8"/>
        <v>1.334905276342571</v>
      </c>
      <c r="K46" s="109"/>
      <c r="L46" s="86"/>
    </row>
    <row r="47" spans="1:12" ht="18.75" customHeight="1">
      <c r="A47" s="171" t="s">
        <v>201</v>
      </c>
      <c r="B47" s="122" t="s">
        <v>202</v>
      </c>
      <c r="C47" s="123"/>
      <c r="D47" s="123">
        <v>168316</v>
      </c>
      <c r="E47" s="124">
        <f aca="true" t="shared" si="10" ref="E47:J47">SUM(E48:E52)</f>
        <v>12541.99</v>
      </c>
      <c r="F47" s="124">
        <f t="shared" si="10"/>
        <v>8736.77</v>
      </c>
      <c r="G47" s="124">
        <f t="shared" si="10"/>
        <v>3523.84</v>
      </c>
      <c r="H47" s="124">
        <f t="shared" si="10"/>
        <v>281.38</v>
      </c>
      <c r="I47" s="124">
        <f t="shared" si="10"/>
        <v>0</v>
      </c>
      <c r="J47" s="124">
        <f t="shared" si="10"/>
        <v>0</v>
      </c>
      <c r="K47" s="109"/>
      <c r="L47" s="86"/>
    </row>
    <row r="48" spans="1:12" ht="18.75" customHeight="1">
      <c r="A48" s="171"/>
      <c r="B48" s="122" t="s">
        <v>203</v>
      </c>
      <c r="C48" s="122"/>
      <c r="D48" s="122"/>
      <c r="E48" s="124">
        <f>SUM(F48:H48)</f>
        <v>1832.8400000000001</v>
      </c>
      <c r="F48" s="124">
        <v>913.45</v>
      </c>
      <c r="G48" s="124">
        <v>919.39</v>
      </c>
      <c r="H48" s="124"/>
      <c r="I48" s="125"/>
      <c r="J48" s="125"/>
      <c r="K48" s="109"/>
      <c r="L48" s="86"/>
    </row>
    <row r="49" spans="1:12" ht="18.75" customHeight="1">
      <c r="A49" s="171"/>
      <c r="B49" s="122" t="s">
        <v>204</v>
      </c>
      <c r="C49" s="122"/>
      <c r="D49" s="122"/>
      <c r="E49" s="124">
        <f>SUM(F49:H49)</f>
        <v>1150</v>
      </c>
      <c r="F49" s="124"/>
      <c r="G49" s="124">
        <v>1150</v>
      </c>
      <c r="H49" s="124"/>
      <c r="I49" s="125"/>
      <c r="J49" s="125"/>
      <c r="K49" s="109"/>
      <c r="L49" s="86"/>
    </row>
    <row r="50" spans="1:12" ht="18.75" customHeight="1">
      <c r="A50" s="171"/>
      <c r="B50" s="122" t="s">
        <v>205</v>
      </c>
      <c r="C50" s="122"/>
      <c r="D50" s="122"/>
      <c r="E50" s="124">
        <f>SUM(F50:H50)</f>
        <v>7000</v>
      </c>
      <c r="F50" s="124">
        <v>7000</v>
      </c>
      <c r="G50" s="124"/>
      <c r="H50" s="124"/>
      <c r="I50" s="125"/>
      <c r="J50" s="125"/>
      <c r="K50" s="109"/>
      <c r="L50" s="86"/>
    </row>
    <row r="51" spans="1:12" ht="18.75" customHeight="1">
      <c r="A51" s="171"/>
      <c r="B51" s="122" t="s">
        <v>206</v>
      </c>
      <c r="C51" s="122"/>
      <c r="D51" s="122"/>
      <c r="E51" s="124">
        <f>SUM(F51:H51)</f>
        <v>370</v>
      </c>
      <c r="F51" s="124"/>
      <c r="G51" s="124">
        <v>370</v>
      </c>
      <c r="H51" s="124"/>
      <c r="I51" s="125"/>
      <c r="J51" s="125"/>
      <c r="K51" s="109"/>
      <c r="L51" s="86"/>
    </row>
    <row r="52" spans="1:12" ht="18.75" customHeight="1">
      <c r="A52" s="171"/>
      <c r="B52" s="122" t="s">
        <v>207</v>
      </c>
      <c r="C52" s="122"/>
      <c r="D52" s="123"/>
      <c r="E52" s="124">
        <f>SUM(F52:H52)</f>
        <v>2189.15</v>
      </c>
      <c r="F52" s="124">
        <v>823.32</v>
      </c>
      <c r="G52" s="124">
        <v>1084.45</v>
      </c>
      <c r="H52" s="124">
        <v>281.38</v>
      </c>
      <c r="I52" s="125"/>
      <c r="J52" s="125"/>
      <c r="K52" s="109"/>
      <c r="L52" s="86"/>
    </row>
    <row r="53" spans="1:12" ht="18.75" customHeight="1">
      <c r="A53" s="170">
        <v>4</v>
      </c>
      <c r="B53" s="129" t="s">
        <v>208</v>
      </c>
      <c r="C53" s="123"/>
      <c r="D53" s="123"/>
      <c r="E53" s="124"/>
      <c r="F53" s="124"/>
      <c r="G53" s="124"/>
      <c r="H53" s="124"/>
      <c r="I53" s="125"/>
      <c r="J53" s="125"/>
      <c r="K53" s="109"/>
      <c r="L53" s="86"/>
    </row>
    <row r="54" spans="1:12" ht="18.75" customHeight="1">
      <c r="A54" s="170">
        <v>5</v>
      </c>
      <c r="B54" s="129" t="s">
        <v>209</v>
      </c>
      <c r="C54" s="122">
        <v>1000</v>
      </c>
      <c r="D54" s="123">
        <v>1000</v>
      </c>
      <c r="E54" s="123">
        <f>SUM(F54:H54)</f>
        <v>1000</v>
      </c>
      <c r="F54" s="123">
        <v>1000</v>
      </c>
      <c r="G54" s="124"/>
      <c r="H54" s="124"/>
      <c r="I54" s="125">
        <f>SUM(E54/C54)</f>
        <v>1</v>
      </c>
      <c r="J54" s="125">
        <f>SUM(E54/D54)</f>
        <v>1</v>
      </c>
      <c r="K54" s="109"/>
      <c r="L54" s="86"/>
    </row>
    <row r="55" spans="1:12" ht="18.75" customHeight="1">
      <c r="A55" s="170">
        <v>6</v>
      </c>
      <c r="B55" s="129" t="s">
        <v>210</v>
      </c>
      <c r="C55" s="123">
        <v>104210</v>
      </c>
      <c r="D55" s="123">
        <v>104210</v>
      </c>
      <c r="E55" s="124"/>
      <c r="F55" s="124"/>
      <c r="G55" s="124"/>
      <c r="H55" s="124"/>
      <c r="I55" s="125"/>
      <c r="J55" s="125"/>
      <c r="K55" s="109"/>
      <c r="L55" s="86"/>
    </row>
    <row r="56" spans="1:12" ht="18.75" customHeight="1">
      <c r="A56" s="170">
        <v>7</v>
      </c>
      <c r="B56" s="129" t="s">
        <v>211</v>
      </c>
      <c r="C56" s="122"/>
      <c r="D56" s="123"/>
      <c r="E56" s="124">
        <f>SUM(F56:H56)</f>
        <v>1128946.6800000002</v>
      </c>
      <c r="F56" s="124">
        <v>845879.49</v>
      </c>
      <c r="G56" s="124">
        <v>256766.63</v>
      </c>
      <c r="H56" s="124">
        <v>26300.56</v>
      </c>
      <c r="I56" s="122"/>
      <c r="J56" s="125"/>
      <c r="K56" s="109"/>
      <c r="L56" s="86"/>
    </row>
    <row r="57" spans="1:12" ht="18.75" customHeight="1">
      <c r="A57" s="169" t="s">
        <v>95</v>
      </c>
      <c r="B57" s="118" t="s">
        <v>212</v>
      </c>
      <c r="C57" s="118"/>
      <c r="D57" s="119">
        <f>SUM(D58,D66)</f>
        <v>206800</v>
      </c>
      <c r="E57" s="120">
        <f>SUM(E58,E66,E81)</f>
        <v>390272.16000000003</v>
      </c>
      <c r="F57" s="120">
        <f>SUM(F58,F66,F81)</f>
        <v>302018.56000000006</v>
      </c>
      <c r="G57" s="120">
        <f>SUM(G58,G66,G81)</f>
        <v>85570.56</v>
      </c>
      <c r="H57" s="120">
        <f>SUM(H58,H66,H81)</f>
        <v>2683.04</v>
      </c>
      <c r="I57" s="119">
        <f>SUM(I58,I66)</f>
        <v>0</v>
      </c>
      <c r="J57" s="128">
        <f>SUM(E57/D57)</f>
        <v>1.8871961315280465</v>
      </c>
      <c r="K57" s="109"/>
      <c r="L57" s="86"/>
    </row>
    <row r="58" spans="1:12" ht="18.75" customHeight="1">
      <c r="A58" s="170">
        <v>1</v>
      </c>
      <c r="B58" s="129" t="s">
        <v>213</v>
      </c>
      <c r="C58" s="118"/>
      <c r="D58" s="130">
        <f>SUM(D60:D61)</f>
        <v>9000</v>
      </c>
      <c r="E58" s="126">
        <f>SUM(E59,E62)</f>
        <v>90090.22</v>
      </c>
      <c r="F58" s="126">
        <f>SUM(F59,F62)</f>
        <v>10916.439999999999</v>
      </c>
      <c r="G58" s="126">
        <f>SUM(G59,G62)</f>
        <v>79173.78</v>
      </c>
      <c r="H58" s="126">
        <f>SUM(H59,H62)</f>
        <v>0</v>
      </c>
      <c r="I58" s="119"/>
      <c r="J58" s="118"/>
      <c r="K58" s="109"/>
      <c r="L58" s="86"/>
    </row>
    <row r="59" spans="1:12" ht="18.75" customHeight="1">
      <c r="A59" s="171"/>
      <c r="B59" s="122" t="s">
        <v>214</v>
      </c>
      <c r="C59" s="118"/>
      <c r="D59" s="123"/>
      <c r="E59" s="124">
        <f>SUM(E60:E61)</f>
        <v>10947.76</v>
      </c>
      <c r="F59" s="124">
        <f>SUM(F60:F61)</f>
        <v>8365.779999999999</v>
      </c>
      <c r="G59" s="124">
        <f>SUM(G60:G61)</f>
        <v>2581.98</v>
      </c>
      <c r="H59" s="124">
        <f>SUM(H60:H61)</f>
        <v>0</v>
      </c>
      <c r="I59" s="119"/>
      <c r="J59" s="118"/>
      <c r="K59" s="109"/>
      <c r="L59" s="86"/>
    </row>
    <row r="60" spans="1:12" ht="18.75" customHeight="1">
      <c r="A60" s="171"/>
      <c r="B60" s="122" t="s">
        <v>215</v>
      </c>
      <c r="C60" s="118"/>
      <c r="D60" s="123">
        <v>4800</v>
      </c>
      <c r="E60" s="124">
        <f>SUM(F60:H60)</f>
        <v>6380.76</v>
      </c>
      <c r="F60" s="124">
        <v>5498.78</v>
      </c>
      <c r="G60" s="124">
        <v>881.98</v>
      </c>
      <c r="H60" s="124"/>
      <c r="I60" s="123"/>
      <c r="J60" s="118"/>
      <c r="K60" s="109"/>
      <c r="L60" s="86"/>
    </row>
    <row r="61" spans="1:12" ht="18.75" customHeight="1">
      <c r="A61" s="171"/>
      <c r="B61" s="122" t="s">
        <v>216</v>
      </c>
      <c r="C61" s="118"/>
      <c r="D61" s="123">
        <v>4200</v>
      </c>
      <c r="E61" s="124">
        <f>SUM(F61:H61)</f>
        <v>4567</v>
      </c>
      <c r="F61" s="124">
        <v>2867</v>
      </c>
      <c r="G61" s="124">
        <v>1700</v>
      </c>
      <c r="H61" s="124"/>
      <c r="I61" s="123"/>
      <c r="J61" s="118"/>
      <c r="K61" s="109"/>
      <c r="L61" s="86"/>
    </row>
    <row r="62" spans="1:12" ht="18.75" customHeight="1">
      <c r="A62" s="171"/>
      <c r="B62" s="122" t="s">
        <v>217</v>
      </c>
      <c r="C62" s="118"/>
      <c r="D62" s="123"/>
      <c r="E62" s="124">
        <f>SUM(E63:E65)</f>
        <v>79142.46</v>
      </c>
      <c r="F62" s="124">
        <f>SUM(F63:F65)</f>
        <v>2550.66</v>
      </c>
      <c r="G62" s="124">
        <f>SUM(G63:G65)</f>
        <v>76591.8</v>
      </c>
      <c r="H62" s="124">
        <f>SUM(H63:H65)</f>
        <v>0</v>
      </c>
      <c r="I62" s="123"/>
      <c r="J62" s="118"/>
      <c r="K62" s="109"/>
      <c r="L62" s="86"/>
    </row>
    <row r="63" spans="1:12" ht="18.75" customHeight="1">
      <c r="A63" s="171"/>
      <c r="B63" s="122" t="s">
        <v>215</v>
      </c>
      <c r="C63" s="118"/>
      <c r="D63" s="123"/>
      <c r="E63" s="124">
        <f>SUM(F63:H63)</f>
        <v>9329</v>
      </c>
      <c r="F63" s="124"/>
      <c r="G63" s="124">
        <v>9329</v>
      </c>
      <c r="H63" s="124"/>
      <c r="I63" s="123"/>
      <c r="J63" s="118"/>
      <c r="K63" s="109"/>
      <c r="L63" s="86"/>
    </row>
    <row r="64" spans="1:12" ht="18.75" customHeight="1">
      <c r="A64" s="171"/>
      <c r="B64" s="122" t="s">
        <v>218</v>
      </c>
      <c r="C64" s="118"/>
      <c r="D64" s="123"/>
      <c r="E64" s="124">
        <f>SUM(F64:H64)</f>
        <v>41557.66</v>
      </c>
      <c r="F64" s="124">
        <v>2550.66</v>
      </c>
      <c r="G64" s="124">
        <v>39007</v>
      </c>
      <c r="H64" s="124"/>
      <c r="I64" s="123"/>
      <c r="J64" s="118"/>
      <c r="K64" s="109"/>
      <c r="L64" s="86"/>
    </row>
    <row r="65" spans="1:12" ht="18.75" customHeight="1">
      <c r="A65" s="171"/>
      <c r="B65" s="122" t="s">
        <v>219</v>
      </c>
      <c r="C65" s="118"/>
      <c r="D65" s="123"/>
      <c r="E65" s="124">
        <f>SUM(F65:H65)</f>
        <v>28255.8</v>
      </c>
      <c r="F65" s="124"/>
      <c r="G65" s="124">
        <v>28255.8</v>
      </c>
      <c r="H65" s="124"/>
      <c r="I65" s="123"/>
      <c r="J65" s="118"/>
      <c r="K65" s="109"/>
      <c r="L65" s="86"/>
    </row>
    <row r="66" spans="1:12" ht="18.75" customHeight="1">
      <c r="A66" s="170">
        <v>2</v>
      </c>
      <c r="B66" s="129" t="s">
        <v>164</v>
      </c>
      <c r="C66" s="118"/>
      <c r="D66" s="130">
        <f>SUM(D70,D73:D74,D76)</f>
        <v>197800</v>
      </c>
      <c r="E66" s="126">
        <f>SUM(E67,E70,E73:E74,E76,E80)</f>
        <v>299686.57</v>
      </c>
      <c r="F66" s="126">
        <f>SUM(F67,F70,F73:F74,F76,F80)</f>
        <v>291102.12000000005</v>
      </c>
      <c r="G66" s="126">
        <f>SUM(G67,G70,G73:G74,G76,G80)</f>
        <v>6396.780000000001</v>
      </c>
      <c r="H66" s="126">
        <f>SUM(H67,H70,H73:H74,H76,H80)</f>
        <v>2187.67</v>
      </c>
      <c r="I66" s="119"/>
      <c r="J66" s="128">
        <f>SUM(E66/D66)</f>
        <v>1.515098938321537</v>
      </c>
      <c r="K66" s="109"/>
      <c r="L66" s="86"/>
    </row>
    <row r="67" spans="1:12" ht="18.75" customHeight="1">
      <c r="A67" s="171" t="s">
        <v>220</v>
      </c>
      <c r="B67" s="122" t="s">
        <v>165</v>
      </c>
      <c r="C67" s="122"/>
      <c r="D67" s="122"/>
      <c r="E67" s="124">
        <f>SUM(E68:E69)</f>
        <v>6652.88</v>
      </c>
      <c r="F67" s="124">
        <f>SUM(F68:F69)</f>
        <v>5772</v>
      </c>
      <c r="G67" s="124">
        <f>SUM(G68:G69)</f>
        <v>741.32</v>
      </c>
      <c r="H67" s="124">
        <f>SUM(H68:H69)</f>
        <v>139.56</v>
      </c>
      <c r="I67" s="122"/>
      <c r="J67" s="122"/>
      <c r="K67" s="109"/>
      <c r="L67" s="86"/>
    </row>
    <row r="68" spans="1:12" ht="18.75" customHeight="1">
      <c r="A68" s="171"/>
      <c r="B68" s="122" t="s">
        <v>221</v>
      </c>
      <c r="C68" s="118"/>
      <c r="D68" s="118"/>
      <c r="E68" s="124">
        <f>SUM(F68:H68)</f>
        <v>6513.32</v>
      </c>
      <c r="F68" s="124">
        <v>5772</v>
      </c>
      <c r="G68" s="124">
        <v>741.32</v>
      </c>
      <c r="H68" s="124"/>
      <c r="I68" s="122"/>
      <c r="J68" s="122"/>
      <c r="K68" s="109"/>
      <c r="L68" s="86"/>
    </row>
    <row r="69" spans="1:12" ht="18.75" customHeight="1">
      <c r="A69" s="171"/>
      <c r="B69" s="122" t="s">
        <v>222</v>
      </c>
      <c r="C69" s="118"/>
      <c r="D69" s="118"/>
      <c r="E69" s="124">
        <f>SUM(F69:H69)</f>
        <v>139.56</v>
      </c>
      <c r="F69" s="124"/>
      <c r="G69" s="124"/>
      <c r="H69" s="124">
        <v>139.56</v>
      </c>
      <c r="I69" s="122"/>
      <c r="J69" s="122"/>
      <c r="K69" s="109"/>
      <c r="L69" s="86"/>
    </row>
    <row r="70" spans="1:12" ht="18.75" customHeight="1">
      <c r="A70" s="171" t="s">
        <v>223</v>
      </c>
      <c r="B70" s="122" t="s">
        <v>168</v>
      </c>
      <c r="C70" s="131"/>
      <c r="D70" s="123">
        <f>SUM(D71:D72)</f>
        <v>10100</v>
      </c>
      <c r="E70" s="124">
        <f>SUM(E71:E72)</f>
        <v>17182.91</v>
      </c>
      <c r="F70" s="124">
        <f>SUM(F71:F72)</f>
        <v>13468.64</v>
      </c>
      <c r="G70" s="124">
        <f>SUM(G71:G72)</f>
        <v>3714.27</v>
      </c>
      <c r="H70" s="124"/>
      <c r="I70" s="118"/>
      <c r="J70" s="118"/>
      <c r="K70" s="109"/>
      <c r="L70" s="86"/>
    </row>
    <row r="71" spans="1:12" ht="18.75" customHeight="1">
      <c r="A71" s="171"/>
      <c r="B71" s="122" t="s">
        <v>224</v>
      </c>
      <c r="C71" s="122"/>
      <c r="D71" s="123">
        <v>2285</v>
      </c>
      <c r="E71" s="124">
        <f>SUM(F71:H71)</f>
        <v>5909.969999999999</v>
      </c>
      <c r="F71" s="124">
        <v>2195.7</v>
      </c>
      <c r="G71" s="124">
        <v>3714.27</v>
      </c>
      <c r="H71" s="124"/>
      <c r="I71" s="122"/>
      <c r="J71" s="122"/>
      <c r="K71" s="109"/>
      <c r="L71" s="86"/>
    </row>
    <row r="72" spans="1:12" ht="18.75" customHeight="1">
      <c r="A72" s="171"/>
      <c r="B72" s="122" t="s">
        <v>225</v>
      </c>
      <c r="C72" s="122"/>
      <c r="D72" s="123">
        <v>7815</v>
      </c>
      <c r="E72" s="124">
        <f>SUM(F72:H72)</f>
        <v>11272.94</v>
      </c>
      <c r="F72" s="124">
        <v>11272.94</v>
      </c>
      <c r="G72" s="124"/>
      <c r="H72" s="124"/>
      <c r="I72" s="122"/>
      <c r="J72" s="122"/>
      <c r="K72" s="109"/>
      <c r="L72" s="86"/>
    </row>
    <row r="73" spans="1:12" ht="18.75" customHeight="1">
      <c r="A73" s="171" t="s">
        <v>226</v>
      </c>
      <c r="B73" s="122" t="s">
        <v>173</v>
      </c>
      <c r="C73" s="122"/>
      <c r="D73" s="123">
        <v>187700</v>
      </c>
      <c r="E73" s="124">
        <f>SUM(F73:H73)</f>
        <v>270190.89</v>
      </c>
      <c r="F73" s="124">
        <v>270180.89</v>
      </c>
      <c r="G73" s="124"/>
      <c r="H73" s="124">
        <v>10</v>
      </c>
      <c r="I73" s="122"/>
      <c r="J73" s="122"/>
      <c r="K73" s="109"/>
      <c r="L73" s="86"/>
    </row>
    <row r="74" spans="1:12" ht="18.75" customHeight="1">
      <c r="A74" s="171" t="s">
        <v>227</v>
      </c>
      <c r="B74" s="122" t="s">
        <v>197</v>
      </c>
      <c r="C74" s="122"/>
      <c r="D74" s="122"/>
      <c r="E74" s="124">
        <f>SUM(E75:E75)</f>
        <v>1780.85</v>
      </c>
      <c r="F74" s="124">
        <f>SUM(F75:F75)</f>
        <v>1680.59</v>
      </c>
      <c r="G74" s="124">
        <f>SUM(G75:G75)</f>
        <v>100.26</v>
      </c>
      <c r="H74" s="124">
        <f>SUM(H75:H75)</f>
        <v>0</v>
      </c>
      <c r="I74" s="122"/>
      <c r="J74" s="122"/>
      <c r="K74" s="109"/>
      <c r="L74" s="86"/>
    </row>
    <row r="75" spans="1:12" ht="18.75" customHeight="1">
      <c r="A75" s="171"/>
      <c r="B75" s="122" t="s">
        <v>198</v>
      </c>
      <c r="C75" s="122"/>
      <c r="D75" s="122"/>
      <c r="E75" s="124">
        <f>SUM(F75:H75)</f>
        <v>1780.85</v>
      </c>
      <c r="F75" s="124">
        <v>1680.59</v>
      </c>
      <c r="G75" s="124">
        <v>100.26</v>
      </c>
      <c r="H75" s="124"/>
      <c r="I75" s="122"/>
      <c r="J75" s="122"/>
      <c r="K75" s="109"/>
      <c r="L75" s="86"/>
    </row>
    <row r="76" spans="1:12" ht="18.75" customHeight="1">
      <c r="A76" s="171" t="s">
        <v>228</v>
      </c>
      <c r="B76" s="122" t="s">
        <v>229</v>
      </c>
      <c r="C76" s="122"/>
      <c r="D76" s="122"/>
      <c r="E76" s="124">
        <f>SUM(E77:E79)</f>
        <v>2107.71</v>
      </c>
      <c r="F76" s="124"/>
      <c r="G76" s="124">
        <f>SUM(G77:G79)</f>
        <v>69.6</v>
      </c>
      <c r="H76" s="124">
        <f>SUM(H77:H79)</f>
        <v>2038.11</v>
      </c>
      <c r="I76" s="122"/>
      <c r="J76" s="122"/>
      <c r="K76" s="109"/>
      <c r="L76" s="86"/>
    </row>
    <row r="77" spans="1:12" ht="18.75" customHeight="1">
      <c r="A77" s="171"/>
      <c r="B77" s="122" t="s">
        <v>230</v>
      </c>
      <c r="C77" s="122"/>
      <c r="D77" s="122"/>
      <c r="E77" s="124">
        <f>SUM(F77:H77)</f>
        <v>574.06</v>
      </c>
      <c r="F77" s="124"/>
      <c r="G77" s="124"/>
      <c r="H77" s="124">
        <v>574.06</v>
      </c>
      <c r="I77" s="122"/>
      <c r="J77" s="122"/>
      <c r="K77" s="109"/>
      <c r="L77" s="86"/>
    </row>
    <row r="78" spans="1:12" ht="18.75" customHeight="1">
      <c r="A78" s="171"/>
      <c r="B78" s="122" t="s">
        <v>190</v>
      </c>
      <c r="C78" s="122"/>
      <c r="D78" s="122"/>
      <c r="E78" s="124">
        <f>SUM(F78:H78)</f>
        <v>69.6</v>
      </c>
      <c r="F78" s="124"/>
      <c r="G78" s="124">
        <v>69.6</v>
      </c>
      <c r="H78" s="124"/>
      <c r="I78" s="122"/>
      <c r="J78" s="122"/>
      <c r="K78" s="109"/>
      <c r="L78" s="86"/>
    </row>
    <row r="79" spans="1:12" ht="18.75" customHeight="1">
      <c r="A79" s="171"/>
      <c r="B79" s="122" t="s">
        <v>231</v>
      </c>
      <c r="C79" s="122"/>
      <c r="D79" s="122"/>
      <c r="E79" s="124">
        <f>SUM(F79:H79)</f>
        <v>1464.05</v>
      </c>
      <c r="F79" s="124"/>
      <c r="G79" s="124"/>
      <c r="H79" s="124">
        <v>1464.05</v>
      </c>
      <c r="I79" s="122"/>
      <c r="J79" s="122"/>
      <c r="K79" s="109"/>
      <c r="L79" s="86"/>
    </row>
    <row r="80" spans="1:12" ht="18.75" customHeight="1">
      <c r="A80" s="171" t="s">
        <v>232</v>
      </c>
      <c r="B80" s="122" t="s">
        <v>202</v>
      </c>
      <c r="C80" s="122"/>
      <c r="D80" s="122"/>
      <c r="E80" s="124">
        <f>SUM(F80:H80)</f>
        <v>1771.33</v>
      </c>
      <c r="F80" s="124"/>
      <c r="G80" s="124">
        <v>1771.33</v>
      </c>
      <c r="H80" s="124"/>
      <c r="I80" s="122"/>
      <c r="J80" s="122"/>
      <c r="K80" s="109"/>
      <c r="L80" s="86"/>
    </row>
    <row r="81" spans="1:12" ht="18.75" customHeight="1">
      <c r="A81" s="170">
        <v>3</v>
      </c>
      <c r="B81" s="129" t="s">
        <v>233</v>
      </c>
      <c r="C81" s="129"/>
      <c r="D81" s="129"/>
      <c r="E81" s="126">
        <f>SUM(F81:H81)</f>
        <v>495.37</v>
      </c>
      <c r="F81" s="126"/>
      <c r="G81" s="126"/>
      <c r="H81" s="126">
        <v>495.37</v>
      </c>
      <c r="I81" s="122"/>
      <c r="J81" s="122"/>
      <c r="K81" s="109"/>
      <c r="L81" s="86"/>
    </row>
    <row r="82" spans="1:12" ht="18.75" customHeight="1">
      <c r="A82" s="169" t="s">
        <v>101</v>
      </c>
      <c r="B82" s="118" t="s">
        <v>234</v>
      </c>
      <c r="C82" s="118"/>
      <c r="D82" s="119"/>
      <c r="E82" s="120">
        <f>SUM(E83,E89)</f>
        <v>5826.16</v>
      </c>
      <c r="F82" s="120">
        <f>SUM(F83,F89)</f>
        <v>0</v>
      </c>
      <c r="G82" s="120">
        <f>SUM(G83,G89)</f>
        <v>3580.13</v>
      </c>
      <c r="H82" s="120">
        <f>SUM(H83,H89)</f>
        <v>2246.0299999999997</v>
      </c>
      <c r="I82" s="118"/>
      <c r="J82" s="131"/>
      <c r="K82" s="109"/>
      <c r="L82" s="86"/>
    </row>
    <row r="83" spans="1:12" ht="18.75" customHeight="1">
      <c r="A83" s="170">
        <v>1</v>
      </c>
      <c r="B83" s="129" t="s">
        <v>235</v>
      </c>
      <c r="C83" s="123"/>
      <c r="D83" s="123"/>
      <c r="E83" s="124">
        <f>SUM(E84:E88)</f>
        <v>3580.13</v>
      </c>
      <c r="F83" s="124"/>
      <c r="G83" s="124">
        <f>SUM(G84:G88)</f>
        <v>3580.13</v>
      </c>
      <c r="H83" s="124">
        <f>SUM(H84:H88)</f>
        <v>0</v>
      </c>
      <c r="I83" s="118"/>
      <c r="J83" s="122"/>
      <c r="K83" s="109"/>
      <c r="L83" s="86"/>
    </row>
    <row r="84" spans="1:12" ht="18.75" customHeight="1">
      <c r="A84" s="170"/>
      <c r="B84" s="122" t="s">
        <v>236</v>
      </c>
      <c r="C84" s="123"/>
      <c r="D84" s="123"/>
      <c r="E84" s="124">
        <f>SUM(F84:H84)</f>
        <v>1344</v>
      </c>
      <c r="F84" s="124"/>
      <c r="G84" s="123">
        <v>1344</v>
      </c>
      <c r="H84" s="123"/>
      <c r="I84" s="118"/>
      <c r="J84" s="122"/>
      <c r="K84" s="109"/>
      <c r="L84" s="86"/>
    </row>
    <row r="85" spans="1:12" ht="18.75" customHeight="1">
      <c r="A85" s="170"/>
      <c r="B85" s="122" t="s">
        <v>237</v>
      </c>
      <c r="C85" s="123"/>
      <c r="D85" s="123"/>
      <c r="E85" s="124">
        <f>SUM(F85:H85)</f>
        <v>338</v>
      </c>
      <c r="F85" s="124"/>
      <c r="G85" s="123">
        <v>338</v>
      </c>
      <c r="H85" s="123"/>
      <c r="I85" s="118"/>
      <c r="J85" s="122"/>
      <c r="K85" s="109"/>
      <c r="L85" s="86"/>
    </row>
    <row r="86" spans="1:12" ht="18.75" customHeight="1">
      <c r="A86" s="170"/>
      <c r="B86" s="122" t="s">
        <v>238</v>
      </c>
      <c r="C86" s="123"/>
      <c r="D86" s="123"/>
      <c r="E86" s="124">
        <f>SUM(F86:H86)</f>
        <v>591.41</v>
      </c>
      <c r="F86" s="124"/>
      <c r="G86" s="124">
        <v>591.41</v>
      </c>
      <c r="H86" s="123"/>
      <c r="I86" s="118"/>
      <c r="J86" s="122"/>
      <c r="K86" s="109"/>
      <c r="L86" s="86"/>
    </row>
    <row r="87" spans="1:12" ht="18.75" customHeight="1">
      <c r="A87" s="170"/>
      <c r="B87" s="122" t="s">
        <v>239</v>
      </c>
      <c r="C87" s="123"/>
      <c r="D87" s="123"/>
      <c r="E87" s="124">
        <f>SUM(F87:H87)</f>
        <v>808.82</v>
      </c>
      <c r="F87" s="124"/>
      <c r="G87" s="124">
        <v>808.82</v>
      </c>
      <c r="H87" s="123"/>
      <c r="I87" s="118"/>
      <c r="J87" s="122"/>
      <c r="K87" s="109"/>
      <c r="L87" s="86"/>
    </row>
    <row r="88" spans="1:12" ht="18.75" customHeight="1">
      <c r="A88" s="170"/>
      <c r="B88" s="122" t="s">
        <v>240</v>
      </c>
      <c r="C88" s="123"/>
      <c r="D88" s="123"/>
      <c r="E88" s="124">
        <f>SUM(F88:H88)</f>
        <v>497.9</v>
      </c>
      <c r="F88" s="124"/>
      <c r="G88" s="124">
        <v>497.9</v>
      </c>
      <c r="H88" s="123"/>
      <c r="I88" s="118"/>
      <c r="J88" s="122"/>
      <c r="K88" s="109"/>
      <c r="L88" s="86"/>
    </row>
    <row r="89" spans="1:12" ht="18.75" customHeight="1">
      <c r="A89" s="170">
        <v>2</v>
      </c>
      <c r="B89" s="129" t="s">
        <v>241</v>
      </c>
      <c r="C89" s="122"/>
      <c r="D89" s="123"/>
      <c r="E89" s="124">
        <f>SUM(E90,E93)</f>
        <v>2246.0299999999997</v>
      </c>
      <c r="F89" s="124"/>
      <c r="G89" s="124"/>
      <c r="H89" s="124">
        <f>SUM(H90,H93)</f>
        <v>2246.0299999999997</v>
      </c>
      <c r="I89" s="118"/>
      <c r="J89" s="122"/>
      <c r="K89" s="109"/>
      <c r="L89" s="86"/>
    </row>
    <row r="90" spans="1:12" ht="18.75" customHeight="1">
      <c r="A90" s="171"/>
      <c r="B90" s="122" t="s">
        <v>242</v>
      </c>
      <c r="C90" s="122"/>
      <c r="D90" s="123"/>
      <c r="E90" s="124">
        <f>SUM(E91:E92)</f>
        <v>1781.79</v>
      </c>
      <c r="F90" s="124"/>
      <c r="G90" s="124"/>
      <c r="H90" s="124">
        <f>SUM(H91:H92)</f>
        <v>1781.79</v>
      </c>
      <c r="I90" s="118"/>
      <c r="J90" s="122"/>
      <c r="K90" s="109"/>
      <c r="L90" s="86"/>
    </row>
    <row r="91" spans="1:12" ht="18.75" customHeight="1">
      <c r="A91" s="171"/>
      <c r="B91" s="122" t="s">
        <v>243</v>
      </c>
      <c r="C91" s="122"/>
      <c r="D91" s="123"/>
      <c r="E91" s="124">
        <f>SUM(F91:H91)</f>
        <v>1300</v>
      </c>
      <c r="F91" s="124"/>
      <c r="G91" s="124"/>
      <c r="H91" s="123">
        <v>1300</v>
      </c>
      <c r="I91" s="118"/>
      <c r="J91" s="122"/>
      <c r="K91" s="109"/>
      <c r="L91" s="86"/>
    </row>
    <row r="92" spans="1:12" ht="18.75" customHeight="1">
      <c r="A92" s="171"/>
      <c r="B92" s="122" t="s">
        <v>244</v>
      </c>
      <c r="C92" s="122"/>
      <c r="D92" s="123"/>
      <c r="E92" s="124">
        <f>SUM(F92:H92)</f>
        <v>481.79</v>
      </c>
      <c r="F92" s="124"/>
      <c r="G92" s="124"/>
      <c r="H92" s="124">
        <v>481.79</v>
      </c>
      <c r="I92" s="118"/>
      <c r="J92" s="122"/>
      <c r="K92" s="109"/>
      <c r="L92" s="86"/>
    </row>
    <row r="93" spans="1:12" ht="18.75" customHeight="1">
      <c r="A93" s="173"/>
      <c r="B93" s="132" t="s">
        <v>245</v>
      </c>
      <c r="C93" s="132"/>
      <c r="D93" s="133"/>
      <c r="E93" s="134">
        <f>SUM(F93:H93)</f>
        <v>464.24</v>
      </c>
      <c r="F93" s="134"/>
      <c r="G93" s="134"/>
      <c r="H93" s="133">
        <v>464.24</v>
      </c>
      <c r="I93" s="135"/>
      <c r="J93" s="132"/>
      <c r="K93" s="109"/>
      <c r="L93" s="86"/>
    </row>
    <row r="94" spans="1:12" ht="15.75" customHeight="1">
      <c r="A94" s="147"/>
      <c r="B94" s="147"/>
      <c r="C94" s="136"/>
      <c r="D94" s="136"/>
      <c r="E94" s="136"/>
      <c r="F94" s="147"/>
      <c r="G94" s="147"/>
      <c r="H94" s="147"/>
      <c r="I94" s="147"/>
      <c r="J94" s="147"/>
      <c r="K94" s="109"/>
      <c r="L94" s="86"/>
    </row>
    <row r="95" spans="1:12" ht="15.75" customHeight="1">
      <c r="A95" s="138"/>
      <c r="B95" s="138"/>
      <c r="C95" s="90"/>
      <c r="D95" s="90"/>
      <c r="E95" s="90"/>
      <c r="F95" s="138"/>
      <c r="G95" s="138"/>
      <c r="H95" s="138"/>
      <c r="I95" s="138"/>
      <c r="J95" s="138"/>
      <c r="K95" s="109"/>
      <c r="L95" s="86"/>
    </row>
    <row r="96" spans="1:12" ht="15.75" customHeight="1">
      <c r="A96" s="174"/>
      <c r="B96" s="137"/>
      <c r="C96" s="137"/>
      <c r="D96" s="137"/>
      <c r="E96" s="137"/>
      <c r="F96" s="138"/>
      <c r="G96" s="138"/>
      <c r="H96" s="138"/>
      <c r="I96" s="138"/>
      <c r="J96" s="138"/>
      <c r="K96" s="109"/>
      <c r="L96" s="86"/>
    </row>
    <row r="97" spans="1:12" ht="15.75" customHeight="1">
      <c r="A97" s="103"/>
      <c r="B97" s="109"/>
      <c r="C97" s="109"/>
      <c r="D97" s="109"/>
      <c r="E97" s="109"/>
      <c r="F97" s="109"/>
      <c r="G97" s="109"/>
      <c r="H97" s="109"/>
      <c r="I97" s="109"/>
      <c r="J97" s="109"/>
      <c r="K97" s="109"/>
      <c r="L97" s="86"/>
    </row>
    <row r="98" spans="1:12" ht="18.75">
      <c r="A98" s="103"/>
      <c r="B98" s="109"/>
      <c r="C98" s="109"/>
      <c r="D98" s="109"/>
      <c r="E98" s="109"/>
      <c r="F98" s="109"/>
      <c r="G98" s="109"/>
      <c r="H98" s="109"/>
      <c r="I98" s="109"/>
      <c r="J98" s="109"/>
      <c r="K98" s="109"/>
      <c r="L98" s="86"/>
    </row>
    <row r="99" spans="1:12" ht="16.5" customHeight="1">
      <c r="A99" s="103"/>
      <c r="B99" s="109"/>
      <c r="C99" s="109"/>
      <c r="D99" s="109"/>
      <c r="E99" s="109"/>
      <c r="F99" s="109"/>
      <c r="G99" s="109"/>
      <c r="H99" s="109"/>
      <c r="I99" s="109"/>
      <c r="J99" s="109"/>
      <c r="K99" s="109"/>
      <c r="L99" s="86"/>
    </row>
    <row r="100" spans="1:12" ht="18.75">
      <c r="A100" s="103"/>
      <c r="B100" s="109"/>
      <c r="C100" s="109"/>
      <c r="D100" s="109"/>
      <c r="E100" s="109"/>
      <c r="F100" s="109"/>
      <c r="G100" s="109"/>
      <c r="H100" s="109"/>
      <c r="I100" s="109"/>
      <c r="J100" s="109"/>
      <c r="K100" s="109"/>
      <c r="L100" s="86"/>
    </row>
    <row r="101" spans="1:12" ht="18.75">
      <c r="A101" s="175"/>
      <c r="B101" s="86"/>
      <c r="C101" s="86"/>
      <c r="D101" s="86"/>
      <c r="E101" s="86"/>
      <c r="F101" s="86"/>
      <c r="G101" s="86"/>
      <c r="H101" s="86"/>
      <c r="I101" s="86"/>
      <c r="J101" s="86"/>
      <c r="K101" s="86"/>
      <c r="L101" s="86"/>
    </row>
  </sheetData>
  <mergeCells count="11">
    <mergeCell ref="A2:J2"/>
    <mergeCell ref="A4:A5"/>
    <mergeCell ref="B4:B5"/>
    <mergeCell ref="C4:D4"/>
    <mergeCell ref="F96:J96"/>
    <mergeCell ref="E4:H5"/>
    <mergeCell ref="I4:J4"/>
    <mergeCell ref="A94:B94"/>
    <mergeCell ref="F94:J94"/>
    <mergeCell ref="A95:B95"/>
    <mergeCell ref="F95:J95"/>
  </mergeCells>
  <printOptions horizontalCentered="1"/>
  <pageMargins left="0.25" right="0.25" top="0.5" bottom="0.25" header="0.5" footer="0.5"/>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P105"/>
  <sheetViews>
    <sheetView workbookViewId="0" topLeftCell="A3">
      <selection activeCell="P26" sqref="P26"/>
    </sheetView>
  </sheetViews>
  <sheetFormatPr defaultColWidth="9.140625" defaultRowHeight="12.75"/>
  <cols>
    <col min="1" max="1" width="6.421875" style="8" customWidth="1"/>
    <col min="2" max="2" width="53.57421875" style="2" customWidth="1"/>
    <col min="3" max="3" width="13.28125" style="3" hidden="1" customWidth="1"/>
    <col min="4" max="4" width="11.140625" style="4" customWidth="1"/>
    <col min="5" max="5" width="11.00390625" style="4" customWidth="1"/>
    <col min="6" max="6" width="14.28125" style="5" customWidth="1"/>
    <col min="7" max="7" width="11.8515625" style="5" customWidth="1"/>
    <col min="8" max="8" width="13.140625" style="5" customWidth="1"/>
    <col min="9" max="9" width="16.57421875" style="5" hidden="1" customWidth="1"/>
    <col min="10" max="11" width="14.8515625" style="5" hidden="1" customWidth="1"/>
    <col min="12" max="12" width="9.8515625" style="9" customWidth="1"/>
    <col min="13" max="13" width="10.8515625" style="9" customWidth="1"/>
    <col min="14" max="14" width="10.00390625" style="2" hidden="1" customWidth="1"/>
    <col min="15" max="15" width="17.421875" style="4" hidden="1" customWidth="1"/>
    <col min="16" max="16" width="9.140625" style="188" customWidth="1"/>
    <col min="17" max="16384" width="9.140625" style="2" customWidth="1"/>
  </cols>
  <sheetData>
    <row r="1" spans="1:13" ht="24" customHeight="1" hidden="1">
      <c r="A1" s="1" t="s">
        <v>0</v>
      </c>
      <c r="I1" s="6"/>
      <c r="J1" s="6"/>
      <c r="L1" s="153" t="s">
        <v>1</v>
      </c>
      <c r="M1" s="153"/>
    </row>
    <row r="2" spans="9:10" ht="15" customHeight="1" hidden="1">
      <c r="I2" s="6"/>
      <c r="J2" s="6"/>
    </row>
    <row r="3" spans="1:13" ht="15" customHeight="1">
      <c r="A3" s="154" t="s">
        <v>2</v>
      </c>
      <c r="B3" s="154"/>
      <c r="I3" s="6"/>
      <c r="J3" s="6"/>
      <c r="K3" s="155"/>
      <c r="L3" s="155"/>
      <c r="M3" s="155"/>
    </row>
    <row r="4" spans="1:13" ht="22.5" customHeight="1">
      <c r="A4" s="156" t="s">
        <v>3</v>
      </c>
      <c r="B4" s="156"/>
      <c r="C4" s="156"/>
      <c r="D4" s="156"/>
      <c r="E4" s="156"/>
      <c r="F4" s="156"/>
      <c r="G4" s="156"/>
      <c r="H4" s="156"/>
      <c r="I4" s="156"/>
      <c r="J4" s="156"/>
      <c r="K4" s="156"/>
      <c r="L4" s="156"/>
      <c r="M4" s="156"/>
    </row>
    <row r="5" spans="7:13" ht="16.5" customHeight="1">
      <c r="G5" s="10"/>
      <c r="H5" s="11" t="s">
        <v>4</v>
      </c>
      <c r="I5" s="12"/>
      <c r="J5" s="12"/>
      <c r="K5" s="13"/>
      <c r="L5" s="10"/>
      <c r="M5" s="11"/>
    </row>
    <row r="6" spans="1:16" s="202" customFormat="1" ht="15.75">
      <c r="A6" s="162" t="s">
        <v>5</v>
      </c>
      <c r="B6" s="163" t="s">
        <v>6</v>
      </c>
      <c r="C6" s="14"/>
      <c r="D6" s="164" t="s">
        <v>7</v>
      </c>
      <c r="E6" s="107"/>
      <c r="F6" s="157" t="s">
        <v>8</v>
      </c>
      <c r="G6" s="157" t="s">
        <v>9</v>
      </c>
      <c r="H6" s="157"/>
      <c r="I6" s="157"/>
      <c r="J6" s="157"/>
      <c r="K6" s="157"/>
      <c r="L6" s="158" t="s">
        <v>10</v>
      </c>
      <c r="M6" s="158"/>
      <c r="N6" s="16"/>
      <c r="O6" s="177"/>
      <c r="P6" s="189"/>
    </row>
    <row r="7" spans="1:16" s="202" customFormat="1" ht="15.75" customHeight="1">
      <c r="A7" s="162"/>
      <c r="B7" s="163"/>
      <c r="C7" s="17"/>
      <c r="D7" s="159" t="s">
        <v>11</v>
      </c>
      <c r="E7" s="159" t="s">
        <v>12</v>
      </c>
      <c r="F7" s="157"/>
      <c r="G7" s="157" t="s">
        <v>13</v>
      </c>
      <c r="H7" s="157" t="s">
        <v>14</v>
      </c>
      <c r="I7" s="157" t="s">
        <v>15</v>
      </c>
      <c r="J7" s="157"/>
      <c r="K7" s="157"/>
      <c r="L7" s="160" t="s">
        <v>11</v>
      </c>
      <c r="M7" s="160" t="s">
        <v>12</v>
      </c>
      <c r="N7" s="18"/>
      <c r="O7" s="178"/>
      <c r="P7" s="189"/>
    </row>
    <row r="8" spans="1:16" s="202" customFormat="1" ht="28.5">
      <c r="A8" s="162"/>
      <c r="B8" s="163"/>
      <c r="C8" s="17"/>
      <c r="D8" s="159"/>
      <c r="E8" s="159"/>
      <c r="F8" s="157"/>
      <c r="G8" s="157"/>
      <c r="H8" s="157"/>
      <c r="I8" s="15" t="s">
        <v>16</v>
      </c>
      <c r="J8" s="15" t="s">
        <v>17</v>
      </c>
      <c r="K8" s="15" t="s">
        <v>18</v>
      </c>
      <c r="L8" s="161"/>
      <c r="M8" s="161"/>
      <c r="N8" s="18"/>
      <c r="O8" s="178"/>
      <c r="P8" s="189"/>
    </row>
    <row r="9" spans="1:16" s="203" customFormat="1" ht="19.5" customHeight="1">
      <c r="A9" s="19"/>
      <c r="B9" s="20" t="s">
        <v>19</v>
      </c>
      <c r="C9" s="21"/>
      <c r="D9" s="22">
        <f aca="true" t="shared" si="0" ref="D9:K9">SUM(D10,D77,D87,D92)</f>
        <v>5562884</v>
      </c>
      <c r="E9" s="22">
        <f t="shared" si="0"/>
        <v>5769684</v>
      </c>
      <c r="F9" s="23">
        <f t="shared" si="0"/>
        <v>8218435.12</v>
      </c>
      <c r="G9" s="23">
        <f t="shared" si="0"/>
        <v>24260.120000000003</v>
      </c>
      <c r="H9" s="23">
        <f t="shared" si="0"/>
        <v>8194175</v>
      </c>
      <c r="I9" s="22">
        <f t="shared" si="0"/>
        <v>7420154.37</v>
      </c>
      <c r="J9" s="22">
        <f t="shared" si="0"/>
        <v>4154694.1499999994</v>
      </c>
      <c r="K9" s="22">
        <f t="shared" si="0"/>
        <v>560730.76</v>
      </c>
      <c r="L9" s="24">
        <f>SUM(F9/D9)</f>
        <v>1.4773694939531365</v>
      </c>
      <c r="M9" s="24">
        <f>SUM(F9/E9)</f>
        <v>1.4244168519454445</v>
      </c>
      <c r="N9" s="25"/>
      <c r="O9" s="179"/>
      <c r="P9" s="190"/>
    </row>
    <row r="10" spans="1:16" s="204" customFormat="1" ht="19.5" customHeight="1">
      <c r="A10" s="26" t="s">
        <v>20</v>
      </c>
      <c r="B10" s="27" t="s">
        <v>21</v>
      </c>
      <c r="C10" s="28"/>
      <c r="D10" s="29">
        <f aca="true" t="shared" si="1" ref="D10:K10">SUM(D11,D69,D73:D76)</f>
        <v>536200</v>
      </c>
      <c r="E10" s="29">
        <f t="shared" si="1"/>
        <v>536200</v>
      </c>
      <c r="F10" s="30">
        <f t="shared" si="1"/>
        <v>2025074.58</v>
      </c>
      <c r="G10" s="30">
        <f t="shared" si="1"/>
        <v>24260.120000000003</v>
      </c>
      <c r="H10" s="30">
        <f t="shared" si="1"/>
        <v>2000814.46</v>
      </c>
      <c r="I10" s="30">
        <f t="shared" si="1"/>
        <v>1315350.35</v>
      </c>
      <c r="J10" s="30">
        <f t="shared" si="1"/>
        <v>628128.5799999998</v>
      </c>
      <c r="K10" s="30">
        <f t="shared" si="1"/>
        <v>57335.53</v>
      </c>
      <c r="L10" s="31">
        <f>F10/D10</f>
        <v>3.776714994405073</v>
      </c>
      <c r="M10" s="32">
        <f>F10/E10</f>
        <v>3.776714994405073</v>
      </c>
      <c r="N10" s="33"/>
      <c r="O10" s="180"/>
      <c r="P10" s="191"/>
    </row>
    <row r="11" spans="1:16" s="197" customFormat="1" ht="19.5" customHeight="1">
      <c r="A11" s="34" t="s">
        <v>22</v>
      </c>
      <c r="B11" s="35" t="s">
        <v>23</v>
      </c>
      <c r="C11" s="36"/>
      <c r="D11" s="37">
        <f aca="true" t="shared" si="2" ref="D11:K11">SUM(D12,D26,D29,D44:D50,D55,D57)</f>
        <v>504000</v>
      </c>
      <c r="E11" s="37">
        <f t="shared" si="2"/>
        <v>504000</v>
      </c>
      <c r="F11" s="38">
        <f t="shared" si="2"/>
        <v>547142.6499999999</v>
      </c>
      <c r="G11" s="38">
        <f t="shared" si="2"/>
        <v>7981.98</v>
      </c>
      <c r="H11" s="38">
        <f t="shared" si="2"/>
        <v>539160.6699999999</v>
      </c>
      <c r="I11" s="38">
        <f t="shared" si="2"/>
        <v>278629.02</v>
      </c>
      <c r="J11" s="38">
        <f t="shared" si="2"/>
        <v>249958.3599999999</v>
      </c>
      <c r="K11" s="38">
        <f t="shared" si="2"/>
        <v>10573.29</v>
      </c>
      <c r="L11" s="39">
        <f>SUM(F11/D11)</f>
        <v>1.0856004960317458</v>
      </c>
      <c r="M11" s="39">
        <f>SUM(F11/E11)</f>
        <v>1.0856004960317458</v>
      </c>
      <c r="N11" s="40">
        <f>SUM(N12,N26,N29,N45:N50,N55,N57)</f>
        <v>0</v>
      </c>
      <c r="O11" s="181">
        <f>SUM(O12,O26,O29,O45:O50,O55,O57)</f>
        <v>12450647862</v>
      </c>
      <c r="P11" s="192"/>
    </row>
    <row r="12" spans="1:16" s="197" customFormat="1" ht="19.5" customHeight="1">
      <c r="A12" s="34" t="s">
        <v>24</v>
      </c>
      <c r="B12" s="35" t="s">
        <v>25</v>
      </c>
      <c r="C12" s="36"/>
      <c r="D12" s="40">
        <f aca="true" t="shared" si="3" ref="D12:K12">SUM(D13,D19)</f>
        <v>125000</v>
      </c>
      <c r="E12" s="40">
        <f t="shared" si="3"/>
        <v>125000</v>
      </c>
      <c r="F12" s="42">
        <f t="shared" si="3"/>
        <v>132848.87</v>
      </c>
      <c r="G12" s="42">
        <f t="shared" si="3"/>
        <v>0</v>
      </c>
      <c r="H12" s="42">
        <f t="shared" si="3"/>
        <v>132848.87</v>
      </c>
      <c r="I12" s="42">
        <f t="shared" si="3"/>
        <v>130785.72</v>
      </c>
      <c r="J12" s="42">
        <f t="shared" si="3"/>
        <v>2063.15</v>
      </c>
      <c r="K12" s="42">
        <f t="shared" si="3"/>
        <v>0</v>
      </c>
      <c r="L12" s="43">
        <f>SUM(F12/D12)</f>
        <v>1.06279096</v>
      </c>
      <c r="M12" s="39">
        <f>SUM(F12/E12)</f>
        <v>1.06279096</v>
      </c>
      <c r="N12" s="41"/>
      <c r="O12" s="182" t="s">
        <v>26</v>
      </c>
      <c r="P12" s="192"/>
    </row>
    <row r="13" spans="1:16" s="195" customFormat="1" ht="19.5" customHeight="1">
      <c r="A13" s="34" t="s">
        <v>27</v>
      </c>
      <c r="B13" s="35" t="s">
        <v>28</v>
      </c>
      <c r="C13" s="36"/>
      <c r="D13" s="40">
        <f aca="true" t="shared" si="4" ref="D13:K13">SUM(D14:D18)</f>
        <v>74000</v>
      </c>
      <c r="E13" s="40">
        <f t="shared" si="4"/>
        <v>74000</v>
      </c>
      <c r="F13" s="42">
        <f t="shared" si="4"/>
        <v>91779.81</v>
      </c>
      <c r="G13" s="42">
        <f t="shared" si="4"/>
        <v>0</v>
      </c>
      <c r="H13" s="42">
        <f t="shared" si="4"/>
        <v>91779.81</v>
      </c>
      <c r="I13" s="42">
        <f t="shared" si="4"/>
        <v>91779.81</v>
      </c>
      <c r="J13" s="42">
        <f t="shared" si="4"/>
        <v>0</v>
      </c>
      <c r="K13" s="42">
        <f t="shared" si="4"/>
        <v>0</v>
      </c>
      <c r="L13" s="43">
        <f>SUM(F13/D13)</f>
        <v>1.2402677027027027</v>
      </c>
      <c r="M13" s="39">
        <f>SUM(F13/E13)</f>
        <v>1.2402677027027027</v>
      </c>
      <c r="N13" s="44">
        <f>SUM(N14:N18)</f>
        <v>0</v>
      </c>
      <c r="O13" s="182" t="e">
        <f>SUM(O14:O18)</f>
        <v>#REF!</v>
      </c>
      <c r="P13" s="193"/>
    </row>
    <row r="14" spans="1:16" s="82" customFormat="1" ht="19.5" customHeight="1">
      <c r="A14" s="46"/>
      <c r="B14" s="47" t="s">
        <v>29</v>
      </c>
      <c r="C14" s="48"/>
      <c r="D14" s="49">
        <v>27700</v>
      </c>
      <c r="E14" s="49">
        <v>27700</v>
      </c>
      <c r="F14" s="50">
        <f>SUM(G14:H14)</f>
        <v>42004.42</v>
      </c>
      <c r="G14" s="50"/>
      <c r="H14" s="50">
        <f>SUM(I14:K14)</f>
        <v>42004.42</v>
      </c>
      <c r="I14" s="50">
        <v>42004.42</v>
      </c>
      <c r="J14" s="50"/>
      <c r="K14" s="50"/>
      <c r="L14" s="51">
        <f>F14/D14</f>
        <v>1.5164050541516245</v>
      </c>
      <c r="M14" s="52">
        <f>F14/E14</f>
        <v>1.5164050541516245</v>
      </c>
      <c r="N14" s="53" t="s">
        <v>30</v>
      </c>
      <c r="O14" s="183" t="e">
        <f>SUM(#REF!,I21,#REF!,I32,I39,I84)</f>
        <v>#REF!</v>
      </c>
      <c r="P14" s="194"/>
    </row>
    <row r="15" spans="1:16" s="82" customFormat="1" ht="19.5" customHeight="1">
      <c r="A15" s="46"/>
      <c r="B15" s="47" t="s">
        <v>31</v>
      </c>
      <c r="C15" s="48"/>
      <c r="D15" s="49">
        <v>2000</v>
      </c>
      <c r="E15" s="49">
        <v>2000</v>
      </c>
      <c r="F15" s="50">
        <f>SUM(G15:H15)</f>
        <v>404.86</v>
      </c>
      <c r="G15" s="50"/>
      <c r="H15" s="50">
        <f>SUM(I15:K15)</f>
        <v>404.86</v>
      </c>
      <c r="I15" s="50">
        <v>404.86</v>
      </c>
      <c r="J15" s="50"/>
      <c r="K15" s="50"/>
      <c r="L15" s="51">
        <f>F15/D15</f>
        <v>0.20243</v>
      </c>
      <c r="M15" s="52">
        <f>F15/E15</f>
        <v>0.20243</v>
      </c>
      <c r="N15" s="53"/>
      <c r="O15" s="184"/>
      <c r="P15" s="194"/>
    </row>
    <row r="16" spans="1:16" s="82" customFormat="1" ht="19.5" customHeight="1">
      <c r="A16" s="46"/>
      <c r="B16" s="47" t="s">
        <v>32</v>
      </c>
      <c r="C16" s="48"/>
      <c r="D16" s="49">
        <v>44200</v>
      </c>
      <c r="E16" s="49">
        <v>44200</v>
      </c>
      <c r="F16" s="50">
        <f>SUM(G16:H16)</f>
        <v>49156.92</v>
      </c>
      <c r="G16" s="50"/>
      <c r="H16" s="50">
        <f>SUM(I16:K16)</f>
        <v>49156.92</v>
      </c>
      <c r="I16" s="50">
        <v>49156.92</v>
      </c>
      <c r="J16" s="50"/>
      <c r="K16" s="50"/>
      <c r="L16" s="51">
        <f>F16/D16</f>
        <v>1.1121475113122172</v>
      </c>
      <c r="M16" s="52">
        <f>F16/E16</f>
        <v>1.1121475113122172</v>
      </c>
      <c r="N16" s="53"/>
      <c r="O16" s="184"/>
      <c r="P16" s="194"/>
    </row>
    <row r="17" spans="1:16" s="82" customFormat="1" ht="19.5" customHeight="1">
      <c r="A17" s="46"/>
      <c r="B17" s="47" t="s">
        <v>33</v>
      </c>
      <c r="C17" s="48"/>
      <c r="D17" s="49">
        <v>100</v>
      </c>
      <c r="E17" s="49">
        <v>100</v>
      </c>
      <c r="F17" s="50">
        <f>SUM(G17:H17)</f>
        <v>104</v>
      </c>
      <c r="G17" s="50"/>
      <c r="H17" s="50">
        <f>SUM(I17:K17)</f>
        <v>104</v>
      </c>
      <c r="I17" s="50">
        <v>104</v>
      </c>
      <c r="J17" s="50"/>
      <c r="K17" s="50"/>
      <c r="L17" s="51">
        <f>F17/D17</f>
        <v>1.04</v>
      </c>
      <c r="M17" s="52">
        <f>F17/E17</f>
        <v>1.04</v>
      </c>
      <c r="N17" s="53"/>
      <c r="O17" s="184" t="e">
        <f>#REF!-O18-I78-I79-I80-#REF!</f>
        <v>#REF!</v>
      </c>
      <c r="P17" s="194"/>
    </row>
    <row r="18" spans="1:16" s="82" customFormat="1" ht="19.5" customHeight="1">
      <c r="A18" s="46"/>
      <c r="B18" s="47" t="s">
        <v>34</v>
      </c>
      <c r="C18" s="48"/>
      <c r="D18" s="49"/>
      <c r="E18" s="49"/>
      <c r="F18" s="50">
        <f>SUM(G18:H18)</f>
        <v>109.61</v>
      </c>
      <c r="G18" s="50"/>
      <c r="H18" s="50">
        <f>SUM(I18:K18)</f>
        <v>109.61</v>
      </c>
      <c r="I18" s="50">
        <v>109.61</v>
      </c>
      <c r="J18" s="50"/>
      <c r="K18" s="50"/>
      <c r="L18" s="54"/>
      <c r="M18" s="39"/>
      <c r="N18" s="53"/>
      <c r="O18" s="184" t="e">
        <f>O13+O14+#REF!+I46+#REF!-I82-I83-I84</f>
        <v>#REF!</v>
      </c>
      <c r="P18" s="194"/>
    </row>
    <row r="19" spans="1:16" s="195" customFormat="1" ht="19.5" customHeight="1">
      <c r="A19" s="34" t="s">
        <v>35</v>
      </c>
      <c r="B19" s="35" t="s">
        <v>36</v>
      </c>
      <c r="C19" s="36"/>
      <c r="D19" s="40">
        <f>SUM(D20:D23,D24:D25)</f>
        <v>51000</v>
      </c>
      <c r="E19" s="40">
        <f>SUM(E20:E23,E24:E25)</f>
        <v>51000</v>
      </c>
      <c r="F19" s="42">
        <f>SUM(F20:F23,F24:F25)</f>
        <v>41069.060000000005</v>
      </c>
      <c r="G19" s="42"/>
      <c r="H19" s="42">
        <f>SUM(H20:H23,H24:H25)</f>
        <v>41069.060000000005</v>
      </c>
      <c r="I19" s="42">
        <f>SUM(I20:I23,I24:I25)</f>
        <v>39005.91</v>
      </c>
      <c r="J19" s="42">
        <f>SUM(J20:J23,J24:J25)</f>
        <v>2063.15</v>
      </c>
      <c r="K19" s="42"/>
      <c r="L19" s="54">
        <f>F19/D19</f>
        <v>0.8052756862745098</v>
      </c>
      <c r="M19" s="39">
        <f>F19/E19</f>
        <v>0.8052756862745098</v>
      </c>
      <c r="N19" s="45"/>
      <c r="O19" s="185"/>
      <c r="P19" s="193"/>
    </row>
    <row r="20" spans="1:16" s="82" customFormat="1" ht="19.5" customHeight="1">
      <c r="A20" s="46"/>
      <c r="B20" s="47" t="s">
        <v>37</v>
      </c>
      <c r="C20" s="48"/>
      <c r="D20" s="49">
        <v>44600</v>
      </c>
      <c r="E20" s="49">
        <v>44600</v>
      </c>
      <c r="F20" s="50">
        <f aca="true" t="shared" si="5" ref="F20:F25">SUM(G20:H20)</f>
        <v>33030.479999999996</v>
      </c>
      <c r="G20" s="50"/>
      <c r="H20" s="50">
        <f aca="true" t="shared" si="6" ref="H20:H25">SUM(I20:K20)</f>
        <v>33030.479999999996</v>
      </c>
      <c r="I20" s="50">
        <v>32053.3</v>
      </c>
      <c r="J20" s="50">
        <v>977.18</v>
      </c>
      <c r="K20" s="50"/>
      <c r="L20" s="51">
        <f>F20/D20</f>
        <v>0.740593721973094</v>
      </c>
      <c r="M20" s="52">
        <f>F20/E20</f>
        <v>0.740593721973094</v>
      </c>
      <c r="N20" s="53"/>
      <c r="O20" s="184"/>
      <c r="P20" s="194"/>
    </row>
    <row r="21" spans="1:16" s="82" customFormat="1" ht="19.5" customHeight="1">
      <c r="A21" s="46"/>
      <c r="B21" s="47" t="s">
        <v>38</v>
      </c>
      <c r="C21" s="48"/>
      <c r="D21" s="49">
        <v>70</v>
      </c>
      <c r="E21" s="49">
        <v>70</v>
      </c>
      <c r="F21" s="50">
        <f t="shared" si="5"/>
        <v>16.78</v>
      </c>
      <c r="G21" s="50"/>
      <c r="H21" s="50">
        <f t="shared" si="6"/>
        <v>16.78</v>
      </c>
      <c r="I21" s="50">
        <v>16.78</v>
      </c>
      <c r="J21" s="50"/>
      <c r="K21" s="50"/>
      <c r="L21" s="51">
        <f>F21/D21</f>
        <v>0.23971428571428574</v>
      </c>
      <c r="M21" s="52">
        <f>F21/E21</f>
        <v>0.23971428571428574</v>
      </c>
      <c r="N21" s="53"/>
      <c r="O21" s="184"/>
      <c r="P21" s="194"/>
    </row>
    <row r="22" spans="1:16" s="82" customFormat="1" ht="19.5" customHeight="1">
      <c r="A22" s="46"/>
      <c r="B22" s="47" t="s">
        <v>39</v>
      </c>
      <c r="C22" s="48"/>
      <c r="D22" s="49">
        <v>6000</v>
      </c>
      <c r="E22" s="49">
        <v>6000</v>
      </c>
      <c r="F22" s="50">
        <f t="shared" si="5"/>
        <v>6477.41</v>
      </c>
      <c r="G22" s="50"/>
      <c r="H22" s="50">
        <f t="shared" si="6"/>
        <v>6477.41</v>
      </c>
      <c r="I22" s="50">
        <v>6477.41</v>
      </c>
      <c r="J22" s="50"/>
      <c r="K22" s="50"/>
      <c r="L22" s="51">
        <f>F22/D22</f>
        <v>1.0795683333333332</v>
      </c>
      <c r="M22" s="52">
        <f>F22/E22</f>
        <v>1.0795683333333332</v>
      </c>
      <c r="N22" s="53"/>
      <c r="O22" s="184"/>
      <c r="P22" s="194"/>
    </row>
    <row r="23" spans="1:16" s="82" customFormat="1" ht="19.5" customHeight="1">
      <c r="A23" s="46"/>
      <c r="B23" s="47" t="s">
        <v>32</v>
      </c>
      <c r="C23" s="48"/>
      <c r="D23" s="49"/>
      <c r="E23" s="49"/>
      <c r="F23" s="50">
        <f t="shared" si="5"/>
        <v>911.98</v>
      </c>
      <c r="G23" s="50"/>
      <c r="H23" s="50">
        <f t="shared" si="6"/>
        <v>911.98</v>
      </c>
      <c r="I23" s="50">
        <v>82.08</v>
      </c>
      <c r="J23" s="50">
        <v>829.9</v>
      </c>
      <c r="K23" s="50"/>
      <c r="L23" s="51"/>
      <c r="M23" s="52"/>
      <c r="N23" s="53"/>
      <c r="O23" s="184"/>
      <c r="P23" s="194"/>
    </row>
    <row r="24" spans="1:16" s="82" customFormat="1" ht="19.5" customHeight="1">
      <c r="A24" s="46"/>
      <c r="B24" s="47" t="s">
        <v>33</v>
      </c>
      <c r="C24" s="48"/>
      <c r="D24" s="49">
        <v>130</v>
      </c>
      <c r="E24" s="49">
        <v>130</v>
      </c>
      <c r="F24" s="50">
        <f t="shared" si="5"/>
        <v>106.61</v>
      </c>
      <c r="G24" s="50"/>
      <c r="H24" s="50">
        <f t="shared" si="6"/>
        <v>106.61</v>
      </c>
      <c r="I24" s="50">
        <v>106.61</v>
      </c>
      <c r="J24" s="50"/>
      <c r="K24" s="50"/>
      <c r="L24" s="51">
        <f>F24/D24</f>
        <v>0.820076923076923</v>
      </c>
      <c r="M24" s="52">
        <f>F24/E24</f>
        <v>0.820076923076923</v>
      </c>
      <c r="N24" s="53"/>
      <c r="O24" s="184"/>
      <c r="P24" s="194"/>
    </row>
    <row r="25" spans="1:16" s="82" customFormat="1" ht="19.5" customHeight="1">
      <c r="A25" s="46"/>
      <c r="B25" s="47" t="s">
        <v>40</v>
      </c>
      <c r="C25" s="55"/>
      <c r="D25" s="49">
        <v>200</v>
      </c>
      <c r="E25" s="49">
        <v>200</v>
      </c>
      <c r="F25" s="50">
        <f t="shared" si="5"/>
        <v>525.8</v>
      </c>
      <c r="G25" s="50"/>
      <c r="H25" s="50">
        <f t="shared" si="6"/>
        <v>525.8</v>
      </c>
      <c r="I25" s="50">
        <v>269.73</v>
      </c>
      <c r="J25" s="50">
        <v>256.07</v>
      </c>
      <c r="K25" s="50"/>
      <c r="L25" s="51">
        <f>F25/D25</f>
        <v>2.6289999999999996</v>
      </c>
      <c r="M25" s="52"/>
      <c r="N25" s="53"/>
      <c r="O25" s="184"/>
      <c r="P25" s="194"/>
    </row>
    <row r="26" spans="1:16" s="197" customFormat="1" ht="19.5" customHeight="1">
      <c r="A26" s="34" t="s">
        <v>41</v>
      </c>
      <c r="B26" s="35" t="s">
        <v>42</v>
      </c>
      <c r="C26" s="36"/>
      <c r="D26" s="40">
        <f>SUM(D27:D28)</f>
        <v>200</v>
      </c>
      <c r="E26" s="40">
        <f>SUM(E27:E28)</f>
        <v>200</v>
      </c>
      <c r="F26" s="42">
        <f>SUM(F27:F28)</f>
        <v>267.36</v>
      </c>
      <c r="G26" s="42"/>
      <c r="H26" s="42">
        <f>SUM(H27:H28)</f>
        <v>267.36</v>
      </c>
      <c r="I26" s="42">
        <f>SUM(I27:I28)</f>
        <v>267.36</v>
      </c>
      <c r="J26" s="42"/>
      <c r="K26" s="42"/>
      <c r="L26" s="43">
        <f>SUM(F26/D26)</f>
        <v>1.3368</v>
      </c>
      <c r="M26" s="43">
        <f>SUM(F26/E26)</f>
        <v>1.3368</v>
      </c>
      <c r="N26" s="44">
        <f>SUM(N27:N28)</f>
        <v>0</v>
      </c>
      <c r="O26" s="182">
        <f>SUM(O27:O28)</f>
        <v>0</v>
      </c>
      <c r="P26" s="196"/>
    </row>
    <row r="27" spans="1:16" s="82" customFormat="1" ht="19.5" customHeight="1">
      <c r="A27" s="46"/>
      <c r="B27" s="47" t="s">
        <v>37</v>
      </c>
      <c r="C27" s="48"/>
      <c r="D27" s="49">
        <v>199</v>
      </c>
      <c r="E27" s="49">
        <v>199</v>
      </c>
      <c r="F27" s="50">
        <f>SUM(G27:H27)</f>
        <v>265.36</v>
      </c>
      <c r="G27" s="50"/>
      <c r="H27" s="50">
        <f>SUM(I27:K27)</f>
        <v>265.36</v>
      </c>
      <c r="I27" s="50">
        <v>265.36</v>
      </c>
      <c r="J27" s="50"/>
      <c r="K27" s="50"/>
      <c r="L27" s="51">
        <f>F27/D27</f>
        <v>1.333467336683417</v>
      </c>
      <c r="M27" s="52">
        <f>F27/E27</f>
        <v>1.333467336683417</v>
      </c>
      <c r="N27" s="53"/>
      <c r="O27" s="184"/>
      <c r="P27" s="194"/>
    </row>
    <row r="28" spans="1:16" s="82" customFormat="1" ht="19.5" customHeight="1">
      <c r="A28" s="46"/>
      <c r="B28" s="47" t="s">
        <v>33</v>
      </c>
      <c r="C28" s="48"/>
      <c r="D28" s="49">
        <v>1</v>
      </c>
      <c r="E28" s="49">
        <v>1</v>
      </c>
      <c r="F28" s="50">
        <f>SUM(G28:H28)</f>
        <v>2</v>
      </c>
      <c r="G28" s="50"/>
      <c r="H28" s="50">
        <f>SUM(I28:K28)</f>
        <v>2</v>
      </c>
      <c r="I28" s="50">
        <v>2</v>
      </c>
      <c r="J28" s="50"/>
      <c r="K28" s="50"/>
      <c r="L28" s="51">
        <f>F28/D28</f>
        <v>2</v>
      </c>
      <c r="M28" s="52">
        <f>F28/E28</f>
        <v>2</v>
      </c>
      <c r="N28" s="53"/>
      <c r="O28" s="184"/>
      <c r="P28" s="194"/>
    </row>
    <row r="29" spans="1:16" s="197" customFormat="1" ht="19.5" customHeight="1">
      <c r="A29" s="34" t="s">
        <v>43</v>
      </c>
      <c r="B29" s="35" t="s">
        <v>44</v>
      </c>
      <c r="C29" s="36"/>
      <c r="D29" s="40">
        <f>SUM(D30,D37)</f>
        <v>218800</v>
      </c>
      <c r="E29" s="40">
        <f>SUM(E30,E37)</f>
        <v>218800</v>
      </c>
      <c r="F29" s="42">
        <f>SUM(F30,F37)</f>
        <v>231433.96999999997</v>
      </c>
      <c r="G29" s="42"/>
      <c r="H29" s="42">
        <f>SUM(H30,H37)</f>
        <v>231433.96999999997</v>
      </c>
      <c r="I29" s="42">
        <f>SUM(I30,I37)</f>
        <v>51219.32000000001</v>
      </c>
      <c r="J29" s="42">
        <f>SUM(J30,J37)</f>
        <v>180214.64999999997</v>
      </c>
      <c r="K29" s="42">
        <f>SUM(K30,K37)</f>
        <v>0</v>
      </c>
      <c r="L29" s="54">
        <f>F29/D29</f>
        <v>1.0577420932358317</v>
      </c>
      <c r="M29" s="39">
        <f>F29/E29</f>
        <v>1.0577420932358317</v>
      </c>
      <c r="N29" s="41"/>
      <c r="O29" s="182"/>
      <c r="P29" s="192"/>
    </row>
    <row r="30" spans="1:16" s="195" customFormat="1" ht="19.5" customHeight="1">
      <c r="A30" s="34" t="s">
        <v>45</v>
      </c>
      <c r="B30" s="35" t="s">
        <v>46</v>
      </c>
      <c r="C30" s="36"/>
      <c r="D30" s="40">
        <f>SUM(D31:D36)</f>
        <v>218800</v>
      </c>
      <c r="E30" s="40">
        <f>SUM(E31:E36)</f>
        <v>218800</v>
      </c>
      <c r="F30" s="42">
        <f>SUM(F31:F36)</f>
        <v>207891.95999999996</v>
      </c>
      <c r="G30" s="42"/>
      <c r="H30" s="42">
        <f>SUM(H31:H36)</f>
        <v>207891.95999999996</v>
      </c>
      <c r="I30" s="42">
        <f>SUM(I31:I36)</f>
        <v>28872.83</v>
      </c>
      <c r="J30" s="42">
        <f>SUM(J31:J36)</f>
        <v>179019.12999999998</v>
      </c>
      <c r="K30" s="42"/>
      <c r="L30" s="51"/>
      <c r="M30" s="52"/>
      <c r="N30" s="45"/>
      <c r="O30" s="185"/>
      <c r="P30" s="193"/>
    </row>
    <row r="31" spans="1:16" s="82" customFormat="1" ht="19.5" customHeight="1">
      <c r="A31" s="46"/>
      <c r="B31" s="47" t="s">
        <v>37</v>
      </c>
      <c r="C31" s="48" t="s">
        <v>47</v>
      </c>
      <c r="D31" s="49">
        <v>202480</v>
      </c>
      <c r="E31" s="49">
        <v>202480</v>
      </c>
      <c r="F31" s="50">
        <f aca="true" t="shared" si="7" ref="F31:F36">SUM(G31:H31)</f>
        <v>185343.49</v>
      </c>
      <c r="G31" s="50"/>
      <c r="H31" s="50">
        <f aca="true" t="shared" si="8" ref="H31:H36">SUM(I31:K31)</f>
        <v>185343.49</v>
      </c>
      <c r="I31" s="50">
        <v>25756.5</v>
      </c>
      <c r="J31" s="50">
        <v>159586.99</v>
      </c>
      <c r="K31" s="50"/>
      <c r="L31" s="51"/>
      <c r="M31" s="52"/>
      <c r="N31" s="53"/>
      <c r="O31" s="184"/>
      <c r="P31" s="194"/>
    </row>
    <row r="32" spans="1:16" s="82" customFormat="1" ht="19.5" customHeight="1">
      <c r="A32" s="46"/>
      <c r="B32" s="47" t="s">
        <v>38</v>
      </c>
      <c r="C32" s="48" t="s">
        <v>48</v>
      </c>
      <c r="D32" s="49">
        <v>120</v>
      </c>
      <c r="E32" s="49">
        <v>120</v>
      </c>
      <c r="F32" s="50">
        <f t="shared" si="7"/>
        <v>44.4</v>
      </c>
      <c r="G32" s="50"/>
      <c r="H32" s="50">
        <f t="shared" si="8"/>
        <v>44.4</v>
      </c>
      <c r="I32" s="50"/>
      <c r="J32" s="50">
        <v>44.4</v>
      </c>
      <c r="K32" s="50"/>
      <c r="L32" s="51"/>
      <c r="M32" s="52"/>
      <c r="N32" s="53" t="s">
        <v>49</v>
      </c>
      <c r="O32" s="184">
        <v>11541243707</v>
      </c>
      <c r="P32" s="194"/>
    </row>
    <row r="33" spans="1:16" s="82" customFormat="1" ht="19.5" customHeight="1">
      <c r="A33" s="46"/>
      <c r="B33" s="47" t="s">
        <v>39</v>
      </c>
      <c r="C33" s="48">
        <v>1050</v>
      </c>
      <c r="D33" s="49">
        <v>6000</v>
      </c>
      <c r="E33" s="49">
        <v>6000</v>
      </c>
      <c r="F33" s="50">
        <f t="shared" si="7"/>
        <v>10231.39</v>
      </c>
      <c r="G33" s="50"/>
      <c r="H33" s="50">
        <f t="shared" si="8"/>
        <v>10231.39</v>
      </c>
      <c r="I33" s="50">
        <v>2089.7</v>
      </c>
      <c r="J33" s="50">
        <v>8141.69</v>
      </c>
      <c r="K33" s="50"/>
      <c r="L33" s="51"/>
      <c r="M33" s="52"/>
      <c r="N33" s="53"/>
      <c r="O33" s="184">
        <v>20703964220</v>
      </c>
      <c r="P33" s="194"/>
    </row>
    <row r="34" spans="1:16" s="82" customFormat="1" ht="19.5" customHeight="1">
      <c r="A34" s="46"/>
      <c r="B34" s="47" t="s">
        <v>32</v>
      </c>
      <c r="C34" s="48">
        <v>1550</v>
      </c>
      <c r="D34" s="49">
        <v>6500</v>
      </c>
      <c r="E34" s="49">
        <v>6500</v>
      </c>
      <c r="F34" s="50">
        <f t="shared" si="7"/>
        <v>9583.539999999999</v>
      </c>
      <c r="G34" s="50"/>
      <c r="H34" s="50">
        <f t="shared" si="8"/>
        <v>9583.539999999999</v>
      </c>
      <c r="I34" s="50">
        <v>930.38</v>
      </c>
      <c r="J34" s="50">
        <v>8653.16</v>
      </c>
      <c r="K34" s="50"/>
      <c r="L34" s="51"/>
      <c r="M34" s="52"/>
      <c r="N34" s="53"/>
      <c r="O34" s="184">
        <v>124816355</v>
      </c>
      <c r="P34" s="194"/>
    </row>
    <row r="35" spans="1:16" s="82" customFormat="1" ht="19.5" customHeight="1">
      <c r="A35" s="46"/>
      <c r="B35" s="47" t="s">
        <v>33</v>
      </c>
      <c r="C35" s="48">
        <v>1800</v>
      </c>
      <c r="D35" s="49">
        <v>2500</v>
      </c>
      <c r="E35" s="49">
        <v>2500</v>
      </c>
      <c r="F35" s="50">
        <f t="shared" si="7"/>
        <v>1234.05</v>
      </c>
      <c r="G35" s="50"/>
      <c r="H35" s="50">
        <f t="shared" si="8"/>
        <v>1234.05</v>
      </c>
      <c r="I35" s="50">
        <v>96.25</v>
      </c>
      <c r="J35" s="50">
        <v>1137.8</v>
      </c>
      <c r="K35" s="50"/>
      <c r="L35" s="51"/>
      <c r="M35" s="52"/>
      <c r="N35" s="53"/>
      <c r="O35" s="184">
        <v>4300000000</v>
      </c>
      <c r="P35" s="194"/>
    </row>
    <row r="36" spans="1:16" s="82" customFormat="1" ht="19.5" customHeight="1">
      <c r="A36" s="46"/>
      <c r="B36" s="47" t="s">
        <v>34</v>
      </c>
      <c r="C36" s="48" t="s">
        <v>50</v>
      </c>
      <c r="D36" s="49">
        <v>1200</v>
      </c>
      <c r="E36" s="49">
        <v>1200</v>
      </c>
      <c r="F36" s="50">
        <f t="shared" si="7"/>
        <v>1455.09</v>
      </c>
      <c r="G36" s="50"/>
      <c r="H36" s="50">
        <f t="shared" si="8"/>
        <v>1455.09</v>
      </c>
      <c r="I36" s="50"/>
      <c r="J36" s="50">
        <v>1455.09</v>
      </c>
      <c r="K36" s="50"/>
      <c r="L36" s="51"/>
      <c r="M36" s="52"/>
      <c r="N36" s="53"/>
      <c r="O36" s="184">
        <v>60080275373</v>
      </c>
      <c r="P36" s="194"/>
    </row>
    <row r="37" spans="1:16" s="195" customFormat="1" ht="19.5" customHeight="1">
      <c r="A37" s="34" t="s">
        <v>51</v>
      </c>
      <c r="B37" s="35" t="s">
        <v>52</v>
      </c>
      <c r="C37" s="36"/>
      <c r="D37" s="40">
        <f>SUM(D38:D43)</f>
        <v>0</v>
      </c>
      <c r="E37" s="40">
        <f>SUM(E38:E43)</f>
        <v>0</v>
      </c>
      <c r="F37" s="42">
        <f>SUM(F38:F43)</f>
        <v>23542.01</v>
      </c>
      <c r="G37" s="42"/>
      <c r="H37" s="42">
        <f>SUM(H38:H43)</f>
        <v>23542.01</v>
      </c>
      <c r="I37" s="42">
        <f>SUM(I38:I43)</f>
        <v>22346.49</v>
      </c>
      <c r="J37" s="42">
        <f>SUM(J38:J43)</f>
        <v>1195.52</v>
      </c>
      <c r="K37" s="42">
        <f>SUM(K38:K43)</f>
        <v>0</v>
      </c>
      <c r="L37" s="31"/>
      <c r="M37" s="32"/>
      <c r="N37" s="45"/>
      <c r="O37" s="185">
        <v>10765527660</v>
      </c>
      <c r="P37" s="193"/>
    </row>
    <row r="38" spans="1:16" s="82" customFormat="1" ht="19.5" customHeight="1">
      <c r="A38" s="46"/>
      <c r="B38" s="47" t="s">
        <v>37</v>
      </c>
      <c r="C38" s="55"/>
      <c r="D38" s="49"/>
      <c r="E38" s="49"/>
      <c r="F38" s="50">
        <f aca="true" t="shared" si="9" ref="F38:F49">SUM(G38:H38)</f>
        <v>18174</v>
      </c>
      <c r="G38" s="50"/>
      <c r="H38" s="50">
        <f aca="true" t="shared" si="10" ref="H38:H49">SUM(I38:K38)</f>
        <v>18174</v>
      </c>
      <c r="I38" s="50">
        <v>18174</v>
      </c>
      <c r="J38" s="50"/>
      <c r="K38" s="50"/>
      <c r="L38" s="31"/>
      <c r="M38" s="32"/>
      <c r="N38" s="53"/>
      <c r="O38" s="184">
        <f>SUM(O32:O37)</f>
        <v>107515827315</v>
      </c>
      <c r="P38" s="194"/>
    </row>
    <row r="39" spans="1:16" s="82" customFormat="1" ht="19.5" customHeight="1">
      <c r="A39" s="46"/>
      <c r="B39" s="47" t="s">
        <v>38</v>
      </c>
      <c r="C39" s="55"/>
      <c r="D39" s="49"/>
      <c r="E39" s="49"/>
      <c r="F39" s="50">
        <f t="shared" si="9"/>
        <v>51.64</v>
      </c>
      <c r="G39" s="50"/>
      <c r="H39" s="50">
        <f t="shared" si="10"/>
        <v>51.64</v>
      </c>
      <c r="I39" s="50">
        <v>35.97</v>
      </c>
      <c r="J39" s="50">
        <v>15.67</v>
      </c>
      <c r="K39" s="50"/>
      <c r="L39" s="31"/>
      <c r="M39" s="32"/>
      <c r="N39" s="53"/>
      <c r="O39" s="184">
        <v>107544857715</v>
      </c>
      <c r="P39" s="194"/>
    </row>
    <row r="40" spans="1:16" s="82" customFormat="1" ht="19.5" customHeight="1">
      <c r="A40" s="46"/>
      <c r="B40" s="47" t="s">
        <v>39</v>
      </c>
      <c r="C40" s="55"/>
      <c r="D40" s="49"/>
      <c r="E40" s="49"/>
      <c r="F40" s="50">
        <f t="shared" si="9"/>
        <v>379.22</v>
      </c>
      <c r="G40" s="50"/>
      <c r="H40" s="50">
        <f t="shared" si="10"/>
        <v>379.22</v>
      </c>
      <c r="I40" s="50">
        <v>379.22</v>
      </c>
      <c r="J40" s="50"/>
      <c r="K40" s="50"/>
      <c r="L40" s="31"/>
      <c r="M40" s="32"/>
      <c r="N40" s="53"/>
      <c r="O40" s="184">
        <f>O38-O39</f>
        <v>-29030400</v>
      </c>
      <c r="P40" s="194"/>
    </row>
    <row r="41" spans="1:16" s="82" customFormat="1" ht="19.5" customHeight="1">
      <c r="A41" s="46"/>
      <c r="B41" s="47" t="s">
        <v>32</v>
      </c>
      <c r="C41" s="55"/>
      <c r="D41" s="49"/>
      <c r="E41" s="49"/>
      <c r="F41" s="50">
        <f t="shared" si="9"/>
        <v>3085.48</v>
      </c>
      <c r="G41" s="50"/>
      <c r="H41" s="50">
        <f t="shared" si="10"/>
        <v>3085.48</v>
      </c>
      <c r="I41" s="50">
        <v>3085.48</v>
      </c>
      <c r="J41" s="50"/>
      <c r="K41" s="50"/>
      <c r="L41" s="31"/>
      <c r="M41" s="32"/>
      <c r="N41" s="53" t="s">
        <v>53</v>
      </c>
      <c r="O41" s="184">
        <v>12694455</v>
      </c>
      <c r="P41" s="194"/>
    </row>
    <row r="42" spans="1:16" s="82" customFormat="1" ht="19.5" customHeight="1">
      <c r="A42" s="46"/>
      <c r="B42" s="47" t="s">
        <v>33</v>
      </c>
      <c r="C42" s="55"/>
      <c r="D42" s="49"/>
      <c r="E42" s="49"/>
      <c r="F42" s="50">
        <f t="shared" si="9"/>
        <v>1179.85</v>
      </c>
      <c r="G42" s="50"/>
      <c r="H42" s="50">
        <f t="shared" si="10"/>
        <v>1179.85</v>
      </c>
      <c r="I42" s="50"/>
      <c r="J42" s="50">
        <v>1179.85</v>
      </c>
      <c r="K42" s="50"/>
      <c r="L42" s="31"/>
      <c r="M42" s="32"/>
      <c r="N42" s="53"/>
      <c r="O42" s="184">
        <v>6150000000</v>
      </c>
      <c r="P42" s="194"/>
    </row>
    <row r="43" spans="1:16" s="82" customFormat="1" ht="19.5" customHeight="1">
      <c r="A43" s="46"/>
      <c r="B43" s="47" t="s">
        <v>34</v>
      </c>
      <c r="C43" s="55"/>
      <c r="D43" s="49"/>
      <c r="E43" s="49"/>
      <c r="F43" s="50">
        <f t="shared" si="9"/>
        <v>671.82</v>
      </c>
      <c r="G43" s="50"/>
      <c r="H43" s="50">
        <f t="shared" si="10"/>
        <v>671.82</v>
      </c>
      <c r="I43" s="50">
        <v>671.82</v>
      </c>
      <c r="J43" s="50"/>
      <c r="K43" s="50"/>
      <c r="L43" s="31"/>
      <c r="M43" s="32"/>
      <c r="N43" s="53"/>
      <c r="O43" s="184">
        <v>11583726</v>
      </c>
      <c r="P43" s="194"/>
    </row>
    <row r="44" spans="1:16" s="82" customFormat="1" ht="19.5" customHeight="1">
      <c r="A44" s="34" t="s">
        <v>54</v>
      </c>
      <c r="B44" s="35" t="s">
        <v>55</v>
      </c>
      <c r="C44" s="55"/>
      <c r="D44" s="49"/>
      <c r="E44" s="49"/>
      <c r="F44" s="42">
        <f t="shared" si="9"/>
        <v>0.38</v>
      </c>
      <c r="G44" s="42"/>
      <c r="H44" s="42">
        <f t="shared" si="10"/>
        <v>0.38</v>
      </c>
      <c r="I44" s="42"/>
      <c r="J44" s="42"/>
      <c r="K44" s="42">
        <v>0.38</v>
      </c>
      <c r="L44" s="31"/>
      <c r="M44" s="32"/>
      <c r="N44" s="53"/>
      <c r="O44" s="184"/>
      <c r="P44" s="194"/>
    </row>
    <row r="45" spans="1:16" s="197" customFormat="1" ht="19.5" customHeight="1">
      <c r="A45" s="34" t="s">
        <v>56</v>
      </c>
      <c r="B45" s="35" t="s">
        <v>55</v>
      </c>
      <c r="C45" s="56">
        <v>1300</v>
      </c>
      <c r="D45" s="40">
        <v>300</v>
      </c>
      <c r="E45" s="40">
        <v>300</v>
      </c>
      <c r="F45" s="42">
        <f t="shared" si="9"/>
        <v>1454.6399999999999</v>
      </c>
      <c r="G45" s="42"/>
      <c r="H45" s="42">
        <f t="shared" si="10"/>
        <v>1454.6399999999999</v>
      </c>
      <c r="I45" s="42"/>
      <c r="J45" s="42">
        <v>671.74</v>
      </c>
      <c r="K45" s="42">
        <v>782.9</v>
      </c>
      <c r="L45" s="54">
        <f>SUM(F45/D45)</f>
        <v>4.8488</v>
      </c>
      <c r="M45" s="39">
        <f aca="true" t="shared" si="11" ref="M45:M50">F45/E45</f>
        <v>4.8488</v>
      </c>
      <c r="N45" s="41"/>
      <c r="O45" s="182">
        <v>34030500</v>
      </c>
      <c r="P45" s="192"/>
    </row>
    <row r="46" spans="1:16" s="197" customFormat="1" ht="19.5" customHeight="1">
      <c r="A46" s="34" t="s">
        <v>57</v>
      </c>
      <c r="B46" s="35" t="s">
        <v>58</v>
      </c>
      <c r="C46" s="56">
        <v>1000</v>
      </c>
      <c r="D46" s="40">
        <v>16000</v>
      </c>
      <c r="E46" s="40">
        <v>16000</v>
      </c>
      <c r="F46" s="42">
        <f t="shared" si="9"/>
        <v>20805.039999999997</v>
      </c>
      <c r="G46" s="42"/>
      <c r="H46" s="42">
        <f t="shared" si="10"/>
        <v>20805.039999999997</v>
      </c>
      <c r="I46" s="42">
        <v>8565.96</v>
      </c>
      <c r="J46" s="42">
        <v>11330.89</v>
      </c>
      <c r="K46" s="42">
        <v>908.19</v>
      </c>
      <c r="L46" s="54">
        <f>F46/D46</f>
        <v>1.3003149999999999</v>
      </c>
      <c r="M46" s="39">
        <f t="shared" si="11"/>
        <v>1.3003149999999999</v>
      </c>
      <c r="N46" s="41"/>
      <c r="O46" s="182">
        <f>SUM(O41:O45)</f>
        <v>6208308681</v>
      </c>
      <c r="P46" s="192"/>
    </row>
    <row r="47" spans="1:16" s="197" customFormat="1" ht="19.5" customHeight="1">
      <c r="A47" s="34" t="s">
        <v>59</v>
      </c>
      <c r="B47" s="35" t="s">
        <v>60</v>
      </c>
      <c r="C47" s="36" t="s">
        <v>61</v>
      </c>
      <c r="D47" s="40">
        <v>42000</v>
      </c>
      <c r="E47" s="40">
        <v>42000</v>
      </c>
      <c r="F47" s="42">
        <f t="shared" si="9"/>
        <v>42616.04</v>
      </c>
      <c r="G47" s="42"/>
      <c r="H47" s="42">
        <f t="shared" si="10"/>
        <v>42616.04</v>
      </c>
      <c r="I47" s="42"/>
      <c r="J47" s="42">
        <v>42183.01</v>
      </c>
      <c r="K47" s="42">
        <v>433.03</v>
      </c>
      <c r="L47" s="54">
        <f>F47/D47</f>
        <v>1.0146676190476192</v>
      </c>
      <c r="M47" s="39">
        <f t="shared" si="11"/>
        <v>1.0146676190476192</v>
      </c>
      <c r="N47" s="41"/>
      <c r="O47" s="182">
        <v>6208308681</v>
      </c>
      <c r="P47" s="192"/>
    </row>
    <row r="48" spans="1:16" s="197" customFormat="1" ht="19.5" customHeight="1">
      <c r="A48" s="34" t="s">
        <v>62</v>
      </c>
      <c r="B48" s="35" t="s">
        <v>63</v>
      </c>
      <c r="C48" s="56"/>
      <c r="D48" s="40">
        <v>43000</v>
      </c>
      <c r="E48" s="40">
        <v>43000</v>
      </c>
      <c r="F48" s="42">
        <f t="shared" si="9"/>
        <v>33585.61</v>
      </c>
      <c r="G48" s="42"/>
      <c r="H48" s="42">
        <f t="shared" si="10"/>
        <v>33585.61</v>
      </c>
      <c r="I48" s="42">
        <v>33496</v>
      </c>
      <c r="J48" s="42">
        <v>89.61</v>
      </c>
      <c r="K48" s="42"/>
      <c r="L48" s="54">
        <f>F48/D48</f>
        <v>0.7810606976744187</v>
      </c>
      <c r="M48" s="39">
        <f t="shared" si="11"/>
        <v>0.7810606976744187</v>
      </c>
      <c r="N48" s="41"/>
      <c r="O48" s="182"/>
      <c r="P48" s="192"/>
    </row>
    <row r="49" spans="1:16" s="197" customFormat="1" ht="19.5" customHeight="1">
      <c r="A49" s="34" t="s">
        <v>64</v>
      </c>
      <c r="B49" s="35" t="s">
        <v>65</v>
      </c>
      <c r="C49" s="36"/>
      <c r="D49" s="40">
        <v>11500</v>
      </c>
      <c r="E49" s="40">
        <v>11500</v>
      </c>
      <c r="F49" s="42">
        <f t="shared" si="9"/>
        <v>15624.039999999999</v>
      </c>
      <c r="G49" s="42">
        <v>2316.66</v>
      </c>
      <c r="H49" s="42">
        <f t="shared" si="10"/>
        <v>13307.38</v>
      </c>
      <c r="I49" s="42">
        <f>3186.13+473.76</f>
        <v>3659.8900000000003</v>
      </c>
      <c r="J49" s="42">
        <f>5792.62+503.9</f>
        <v>6296.5199999999995</v>
      </c>
      <c r="K49" s="42">
        <f>2476.2+874.77</f>
        <v>3350.97</v>
      </c>
      <c r="L49" s="54">
        <f>F49/D49</f>
        <v>1.3586121739130435</v>
      </c>
      <c r="M49" s="39">
        <f t="shared" si="11"/>
        <v>1.3586121739130435</v>
      </c>
      <c r="N49" s="41"/>
      <c r="O49" s="182"/>
      <c r="P49" s="192"/>
    </row>
    <row r="50" spans="1:16" s="197" customFormat="1" ht="19.5" customHeight="1">
      <c r="A50" s="34" t="s">
        <v>66</v>
      </c>
      <c r="B50" s="35" t="s">
        <v>67</v>
      </c>
      <c r="C50" s="36"/>
      <c r="D50" s="40">
        <f>SUM(D51:D52,D53:D54)</f>
        <v>40200</v>
      </c>
      <c r="E50" s="40">
        <f>SUM(E51:E52,E53:E54)</f>
        <v>40200</v>
      </c>
      <c r="F50" s="42">
        <f>SUM(F51:F52,F53:F54)</f>
        <v>37514.869999999995</v>
      </c>
      <c r="G50" s="42"/>
      <c r="H50" s="42">
        <f>SUM(H51:H52,H53:H54)</f>
        <v>37514.869999999995</v>
      </c>
      <c r="I50" s="42">
        <f>SUM(I51:I52,I53:I54)</f>
        <v>36428.619999999995</v>
      </c>
      <c r="J50" s="42">
        <f>SUM(J51:J52,J53:J54)</f>
        <v>307.83</v>
      </c>
      <c r="K50" s="42">
        <f>SUM(K51:K52,K53:K54)</f>
        <v>778.4200000000001</v>
      </c>
      <c r="L50" s="54">
        <f>F50/D50</f>
        <v>0.9332057213930347</v>
      </c>
      <c r="M50" s="39">
        <f t="shared" si="11"/>
        <v>0.9332057213930347</v>
      </c>
      <c r="N50" s="41"/>
      <c r="O50" s="182"/>
      <c r="P50" s="192"/>
    </row>
    <row r="51" spans="1:16" s="82" customFormat="1" ht="19.5" customHeight="1">
      <c r="A51" s="46"/>
      <c r="B51" s="47" t="s">
        <v>68</v>
      </c>
      <c r="C51" s="55">
        <v>1500</v>
      </c>
      <c r="D51" s="49"/>
      <c r="E51" s="49"/>
      <c r="F51" s="50">
        <f>SUM(G51:H51)</f>
        <v>53.38</v>
      </c>
      <c r="G51" s="50"/>
      <c r="H51" s="50">
        <f aca="true" t="shared" si="12" ref="H51:H56">SUM(I51:K51)</f>
        <v>53.38</v>
      </c>
      <c r="I51" s="50"/>
      <c r="J51" s="50">
        <v>43.38</v>
      </c>
      <c r="K51" s="50">
        <v>10</v>
      </c>
      <c r="L51" s="51"/>
      <c r="M51" s="52"/>
      <c r="N51" s="53"/>
      <c r="O51" s="184"/>
      <c r="P51" s="194"/>
    </row>
    <row r="52" spans="1:16" s="82" customFormat="1" ht="19.5" customHeight="1">
      <c r="A52" s="46"/>
      <c r="B52" s="47" t="s">
        <v>69</v>
      </c>
      <c r="C52" s="55">
        <v>3600</v>
      </c>
      <c r="D52" s="49">
        <v>13000</v>
      </c>
      <c r="E52" s="49">
        <v>13000</v>
      </c>
      <c r="F52" s="50">
        <f>SUM(G52:H52)</f>
        <v>10566.399999999998</v>
      </c>
      <c r="G52" s="50"/>
      <c r="H52" s="50">
        <f t="shared" si="12"/>
        <v>10566.399999999998</v>
      </c>
      <c r="I52" s="50">
        <v>10071.96</v>
      </c>
      <c r="J52" s="50">
        <v>2.89</v>
      </c>
      <c r="K52" s="50">
        <v>491.55</v>
      </c>
      <c r="L52" s="51">
        <f>F52/D52</f>
        <v>0.8127999999999999</v>
      </c>
      <c r="M52" s="52">
        <f>F52/E52</f>
        <v>0.8127999999999999</v>
      </c>
      <c r="N52" s="53"/>
      <c r="O52" s="184"/>
      <c r="P52" s="194"/>
    </row>
    <row r="53" spans="1:16" s="82" customFormat="1" ht="19.5" customHeight="1">
      <c r="A53" s="46"/>
      <c r="B53" s="47" t="s">
        <v>70</v>
      </c>
      <c r="C53" s="55">
        <v>1400</v>
      </c>
      <c r="D53" s="49">
        <v>27000</v>
      </c>
      <c r="E53" s="49">
        <v>27000</v>
      </c>
      <c r="F53" s="50">
        <f>SUM(G53:H53)</f>
        <v>26353.69</v>
      </c>
      <c r="G53" s="50"/>
      <c r="H53" s="50">
        <f t="shared" si="12"/>
        <v>26353.69</v>
      </c>
      <c r="I53" s="50">
        <v>26353.69</v>
      </c>
      <c r="J53" s="50"/>
      <c r="K53" s="50"/>
      <c r="L53" s="51">
        <f>F53/D53</f>
        <v>0.9760625925925925</v>
      </c>
      <c r="M53" s="52">
        <f>F53/E53</f>
        <v>0.9760625925925925</v>
      </c>
      <c r="N53" s="53"/>
      <c r="O53" s="184"/>
      <c r="P53" s="194"/>
    </row>
    <row r="54" spans="1:16" s="82" customFormat="1" ht="19.5" customHeight="1">
      <c r="A54" s="46"/>
      <c r="B54" s="47" t="s">
        <v>71</v>
      </c>
      <c r="C54" s="48" t="s">
        <v>72</v>
      </c>
      <c r="D54" s="49">
        <v>200</v>
      </c>
      <c r="E54" s="49">
        <v>200</v>
      </c>
      <c r="F54" s="50">
        <f>SUM(G54:H54)</f>
        <v>541.4000000000001</v>
      </c>
      <c r="G54" s="50"/>
      <c r="H54" s="50">
        <f t="shared" si="12"/>
        <v>541.4000000000001</v>
      </c>
      <c r="I54" s="50">
        <v>2.97</v>
      </c>
      <c r="J54" s="50">
        <v>261.56</v>
      </c>
      <c r="K54" s="50">
        <v>276.87</v>
      </c>
      <c r="L54" s="51">
        <f>F54/D54</f>
        <v>2.7070000000000003</v>
      </c>
      <c r="M54" s="52">
        <f>F54/E54</f>
        <v>2.7070000000000003</v>
      </c>
      <c r="N54" s="53"/>
      <c r="O54" s="184"/>
      <c r="P54" s="194"/>
    </row>
    <row r="55" spans="1:16" s="197" customFormat="1" ht="19.5" customHeight="1">
      <c r="A55" s="34" t="s">
        <v>73</v>
      </c>
      <c r="B55" s="35" t="s">
        <v>74</v>
      </c>
      <c r="C55" s="36"/>
      <c r="D55" s="40">
        <v>3000</v>
      </c>
      <c r="E55" s="40">
        <v>3000</v>
      </c>
      <c r="F55" s="42">
        <v>3132.02</v>
      </c>
      <c r="G55" s="42"/>
      <c r="H55" s="42">
        <f t="shared" si="12"/>
        <v>3132.02</v>
      </c>
      <c r="I55" s="42"/>
      <c r="J55" s="42"/>
      <c r="K55" s="42">
        <v>3132.02</v>
      </c>
      <c r="L55" s="54">
        <f>F55/D55</f>
        <v>1.0440066666666667</v>
      </c>
      <c r="M55" s="39">
        <f>F55/E55</f>
        <v>1.0440066666666667</v>
      </c>
      <c r="N55" s="41"/>
      <c r="O55" s="182"/>
      <c r="P55" s="192"/>
    </row>
    <row r="56" spans="1:16" s="82" customFormat="1" ht="19.5" customHeight="1">
      <c r="A56" s="46"/>
      <c r="B56" s="47" t="s">
        <v>75</v>
      </c>
      <c r="C56" s="55">
        <v>3900</v>
      </c>
      <c r="D56" s="49"/>
      <c r="E56" s="49"/>
      <c r="F56" s="50">
        <f>SUM(G56:H56)</f>
        <v>3132.02</v>
      </c>
      <c r="G56" s="50"/>
      <c r="H56" s="50">
        <f t="shared" si="12"/>
        <v>3132.02</v>
      </c>
      <c r="I56" s="50"/>
      <c r="J56" s="50"/>
      <c r="K56" s="50">
        <v>3132.02</v>
      </c>
      <c r="L56" s="54"/>
      <c r="M56" s="39"/>
      <c r="N56" s="53"/>
      <c r="O56" s="184"/>
      <c r="P56" s="194"/>
    </row>
    <row r="57" spans="1:16" s="197" customFormat="1" ht="19.5" customHeight="1">
      <c r="A57" s="34" t="s">
        <v>76</v>
      </c>
      <c r="B57" s="35" t="s">
        <v>77</v>
      </c>
      <c r="C57" s="36"/>
      <c r="D57" s="40">
        <v>4000</v>
      </c>
      <c r="E57" s="40">
        <v>4000</v>
      </c>
      <c r="F57" s="42">
        <f aca="true" t="shared" si="13" ref="F57:K57">SUM(F58,F60:F68)</f>
        <v>27859.809999999994</v>
      </c>
      <c r="G57" s="42">
        <f t="shared" si="13"/>
        <v>5665.32</v>
      </c>
      <c r="H57" s="42">
        <f t="shared" si="13"/>
        <v>22194.489999999998</v>
      </c>
      <c r="I57" s="42">
        <f t="shared" si="13"/>
        <v>14206.15</v>
      </c>
      <c r="J57" s="42">
        <f t="shared" si="13"/>
        <v>6800.96</v>
      </c>
      <c r="K57" s="42">
        <f t="shared" si="13"/>
        <v>1187.38</v>
      </c>
      <c r="L57" s="54">
        <f>F57/D57</f>
        <v>6.964952499999998</v>
      </c>
      <c r="M57" s="39">
        <f>F57/E57</f>
        <v>6.964952499999998</v>
      </c>
      <c r="N57" s="41"/>
      <c r="O57" s="182"/>
      <c r="P57" s="192"/>
    </row>
    <row r="58" spans="1:16" s="82" customFormat="1" ht="19.5" customHeight="1">
      <c r="A58" s="46"/>
      <c r="B58" s="47" t="s">
        <v>78</v>
      </c>
      <c r="C58" s="48" t="s">
        <v>79</v>
      </c>
      <c r="D58" s="49"/>
      <c r="E58" s="49"/>
      <c r="F58" s="50">
        <f aca="true" t="shared" si="14" ref="F58:F68">SUM(G58:H58)</f>
        <v>10452.38</v>
      </c>
      <c r="G58" s="50">
        <f>23.2+4854.32</f>
        <v>4877.5199999999995</v>
      </c>
      <c r="H58" s="50">
        <f aca="true" t="shared" si="15" ref="H58:H64">SUM(I58:K58)</f>
        <v>5574.86</v>
      </c>
      <c r="I58" s="50">
        <f>2469.83+2100.61</f>
        <v>4570.4400000000005</v>
      </c>
      <c r="J58" s="50">
        <v>732.06</v>
      </c>
      <c r="K58" s="50">
        <v>272.36</v>
      </c>
      <c r="L58" s="31"/>
      <c r="M58" s="32"/>
      <c r="N58" s="53"/>
      <c r="O58" s="184"/>
      <c r="P58" s="194"/>
    </row>
    <row r="59" spans="1:16" s="82" customFormat="1" ht="19.5" customHeight="1">
      <c r="A59" s="46"/>
      <c r="B59" s="47" t="s">
        <v>80</v>
      </c>
      <c r="C59" s="48"/>
      <c r="D59" s="49"/>
      <c r="E59" s="49"/>
      <c r="F59" s="50">
        <f t="shared" si="14"/>
        <v>6954.93</v>
      </c>
      <c r="G59" s="50">
        <v>4854.32</v>
      </c>
      <c r="H59" s="50">
        <f t="shared" si="15"/>
        <v>2100.61</v>
      </c>
      <c r="I59" s="50">
        <v>2100.61</v>
      </c>
      <c r="J59" s="50"/>
      <c r="K59" s="50"/>
      <c r="L59" s="31"/>
      <c r="M59" s="32"/>
      <c r="N59" s="53"/>
      <c r="O59" s="184"/>
      <c r="P59" s="194"/>
    </row>
    <row r="60" spans="1:16" s="82" customFormat="1" ht="19.5" customHeight="1">
      <c r="A60" s="46"/>
      <c r="B60" s="47" t="s">
        <v>81</v>
      </c>
      <c r="C60" s="48" t="s">
        <v>82</v>
      </c>
      <c r="D60" s="49"/>
      <c r="E60" s="49"/>
      <c r="F60" s="50">
        <f t="shared" si="14"/>
        <v>2892.87</v>
      </c>
      <c r="G60" s="50">
        <v>411.73</v>
      </c>
      <c r="H60" s="50">
        <f t="shared" si="15"/>
        <v>2481.14</v>
      </c>
      <c r="I60" s="50">
        <f>1326.04+1015.71</f>
        <v>2341.75</v>
      </c>
      <c r="J60" s="50">
        <v>139.39</v>
      </c>
      <c r="K60" s="50"/>
      <c r="L60" s="31"/>
      <c r="M60" s="32"/>
      <c r="N60" s="53"/>
      <c r="O60" s="184"/>
      <c r="P60" s="194"/>
    </row>
    <row r="61" spans="1:16" s="82" customFormat="1" ht="19.5" customHeight="1">
      <c r="A61" s="46"/>
      <c r="B61" s="47" t="s">
        <v>83</v>
      </c>
      <c r="C61" s="48" t="s">
        <v>84</v>
      </c>
      <c r="D61" s="49"/>
      <c r="E61" s="49"/>
      <c r="F61" s="50">
        <f t="shared" si="14"/>
        <v>3.55</v>
      </c>
      <c r="G61" s="50"/>
      <c r="H61" s="50">
        <f t="shared" si="15"/>
        <v>3.55</v>
      </c>
      <c r="I61" s="50"/>
      <c r="J61" s="50"/>
      <c r="K61" s="50">
        <v>3.55</v>
      </c>
      <c r="L61" s="31"/>
      <c r="M61" s="32"/>
      <c r="N61" s="53"/>
      <c r="O61" s="184"/>
      <c r="P61" s="194"/>
    </row>
    <row r="62" spans="1:16" s="82" customFormat="1" ht="19.5" customHeight="1">
      <c r="A62" s="46"/>
      <c r="B62" s="47" t="s">
        <v>85</v>
      </c>
      <c r="C62" s="48" t="s">
        <v>86</v>
      </c>
      <c r="D62" s="49"/>
      <c r="E62" s="49"/>
      <c r="F62" s="50">
        <f t="shared" si="14"/>
        <v>1235.3500000000001</v>
      </c>
      <c r="G62" s="50">
        <v>247.15</v>
      </c>
      <c r="H62" s="50">
        <f t="shared" si="15"/>
        <v>988.2</v>
      </c>
      <c r="I62" s="50">
        <v>467.29</v>
      </c>
      <c r="J62" s="50">
        <v>520.91</v>
      </c>
      <c r="K62" s="50"/>
      <c r="L62" s="31"/>
      <c r="M62" s="32"/>
      <c r="N62" s="53"/>
      <c r="O62" s="184"/>
      <c r="P62" s="194"/>
    </row>
    <row r="63" spans="1:16" s="82" customFormat="1" ht="19.5" customHeight="1">
      <c r="A63" s="46"/>
      <c r="B63" s="47" t="s">
        <v>87</v>
      </c>
      <c r="C63" s="48" t="s">
        <v>88</v>
      </c>
      <c r="D63" s="49"/>
      <c r="E63" s="49"/>
      <c r="F63" s="50">
        <f t="shared" si="14"/>
        <v>34.5</v>
      </c>
      <c r="G63" s="50"/>
      <c r="H63" s="50">
        <f t="shared" si="15"/>
        <v>34.5</v>
      </c>
      <c r="I63" s="50"/>
      <c r="J63" s="50">
        <v>6.5</v>
      </c>
      <c r="K63" s="50">
        <v>28</v>
      </c>
      <c r="L63" s="31"/>
      <c r="M63" s="32"/>
      <c r="N63" s="53"/>
      <c r="O63" s="184"/>
      <c r="P63" s="194"/>
    </row>
    <row r="64" spans="1:16" s="82" customFormat="1" ht="19.5" customHeight="1">
      <c r="A64" s="46"/>
      <c r="B64" s="47" t="s">
        <v>89</v>
      </c>
      <c r="C64" s="48" t="s">
        <v>90</v>
      </c>
      <c r="D64" s="49"/>
      <c r="E64" s="49"/>
      <c r="F64" s="50">
        <f t="shared" si="14"/>
        <v>9186.63</v>
      </c>
      <c r="G64" s="50">
        <v>123.41</v>
      </c>
      <c r="H64" s="50">
        <f t="shared" si="15"/>
        <v>9063.22</v>
      </c>
      <c r="I64" s="50">
        <v>5759.48</v>
      </c>
      <c r="J64" s="50">
        <f>3131.65+7.87</f>
        <v>3139.52</v>
      </c>
      <c r="K64" s="50">
        <v>164.22</v>
      </c>
      <c r="L64" s="31"/>
      <c r="M64" s="32"/>
      <c r="N64" s="53"/>
      <c r="O64" s="184"/>
      <c r="P64" s="194"/>
    </row>
    <row r="65" spans="1:16" s="82" customFormat="1" ht="19.5" customHeight="1">
      <c r="A65" s="46"/>
      <c r="B65" s="57" t="s">
        <v>91</v>
      </c>
      <c r="C65" s="58">
        <v>3650</v>
      </c>
      <c r="D65" s="49"/>
      <c r="E65" s="49"/>
      <c r="F65" s="50">
        <f t="shared" si="14"/>
        <v>2.17</v>
      </c>
      <c r="G65" s="50">
        <v>2.17</v>
      </c>
      <c r="H65" s="50"/>
      <c r="I65" s="50"/>
      <c r="J65" s="50"/>
      <c r="K65" s="50"/>
      <c r="L65" s="31"/>
      <c r="M65" s="32"/>
      <c r="N65" s="53"/>
      <c r="O65" s="184"/>
      <c r="P65" s="194"/>
    </row>
    <row r="66" spans="1:16" s="82" customFormat="1" ht="19.5" customHeight="1">
      <c r="A66" s="46"/>
      <c r="B66" s="57" t="s">
        <v>92</v>
      </c>
      <c r="C66" s="58"/>
      <c r="D66" s="49"/>
      <c r="E66" s="49"/>
      <c r="F66" s="50">
        <f t="shared" si="14"/>
        <v>44.92</v>
      </c>
      <c r="G66" s="50"/>
      <c r="H66" s="50">
        <f>SUM(I66:K66)</f>
        <v>44.92</v>
      </c>
      <c r="I66" s="50"/>
      <c r="J66" s="50">
        <v>44.92</v>
      </c>
      <c r="K66" s="50"/>
      <c r="L66" s="31"/>
      <c r="M66" s="32"/>
      <c r="N66" s="53"/>
      <c r="O66" s="184"/>
      <c r="P66" s="194"/>
    </row>
    <row r="67" spans="1:16" s="82" customFormat="1" ht="19.5" customHeight="1">
      <c r="A67" s="46"/>
      <c r="B67" s="57" t="s">
        <v>93</v>
      </c>
      <c r="C67" s="58"/>
      <c r="D67" s="49"/>
      <c r="E67" s="49"/>
      <c r="F67" s="50">
        <f t="shared" si="14"/>
        <v>4</v>
      </c>
      <c r="G67" s="50"/>
      <c r="H67" s="50">
        <f>SUM(I67:K67)</f>
        <v>4</v>
      </c>
      <c r="I67" s="50"/>
      <c r="J67" s="50">
        <v>4</v>
      </c>
      <c r="K67" s="50"/>
      <c r="L67" s="31"/>
      <c r="M67" s="32"/>
      <c r="N67" s="53"/>
      <c r="O67" s="184"/>
      <c r="P67" s="194"/>
    </row>
    <row r="68" spans="1:16" s="82" customFormat="1" ht="19.5" customHeight="1">
      <c r="A68" s="46"/>
      <c r="B68" s="47" t="s">
        <v>94</v>
      </c>
      <c r="C68" s="55"/>
      <c r="D68" s="49"/>
      <c r="E68" s="49"/>
      <c r="F68" s="50">
        <f t="shared" si="14"/>
        <v>4003.44</v>
      </c>
      <c r="G68" s="50">
        <v>3.34</v>
      </c>
      <c r="H68" s="50">
        <f>SUM(I68:K68)</f>
        <v>4000.1</v>
      </c>
      <c r="I68" s="50">
        <v>1067.19</v>
      </c>
      <c r="J68" s="50">
        <v>2213.66</v>
      </c>
      <c r="K68" s="50">
        <v>719.25</v>
      </c>
      <c r="L68" s="31"/>
      <c r="M68" s="32"/>
      <c r="N68" s="53"/>
      <c r="O68" s="184"/>
      <c r="P68" s="194"/>
    </row>
    <row r="69" spans="1:16" s="197" customFormat="1" ht="19.5" customHeight="1">
      <c r="A69" s="34" t="s">
        <v>95</v>
      </c>
      <c r="B69" s="35" t="s">
        <v>96</v>
      </c>
      <c r="C69" s="36"/>
      <c r="D69" s="40">
        <f aca="true" t="shared" si="16" ref="D69:M69">SUM(D70:D72)</f>
        <v>32200</v>
      </c>
      <c r="E69" s="40">
        <f t="shared" si="16"/>
        <v>32200</v>
      </c>
      <c r="F69" s="42">
        <f t="shared" si="16"/>
        <v>16278.140000000001</v>
      </c>
      <c r="G69" s="42">
        <f t="shared" si="16"/>
        <v>16278.140000000001</v>
      </c>
      <c r="H69" s="42">
        <f t="shared" si="16"/>
        <v>0</v>
      </c>
      <c r="I69" s="42">
        <f t="shared" si="16"/>
        <v>0</v>
      </c>
      <c r="J69" s="42">
        <f t="shared" si="16"/>
        <v>0</v>
      </c>
      <c r="K69" s="42">
        <f t="shared" si="16"/>
        <v>0</v>
      </c>
      <c r="L69" s="40">
        <f t="shared" si="16"/>
        <v>0</v>
      </c>
      <c r="M69" s="40">
        <f t="shared" si="16"/>
        <v>0</v>
      </c>
      <c r="N69" s="41"/>
      <c r="O69" s="182"/>
      <c r="P69" s="192"/>
    </row>
    <row r="70" spans="1:16" s="82" customFormat="1" ht="19.5" customHeight="1">
      <c r="A70" s="34" t="s">
        <v>24</v>
      </c>
      <c r="B70" s="35" t="s">
        <v>97</v>
      </c>
      <c r="C70" s="55">
        <v>1850</v>
      </c>
      <c r="D70" s="49">
        <v>1800</v>
      </c>
      <c r="E70" s="49">
        <v>1800</v>
      </c>
      <c r="F70" s="50">
        <f aca="true" t="shared" si="17" ref="F70:F76">SUM(G70:H70)</f>
        <v>1734.45</v>
      </c>
      <c r="G70" s="50">
        <f>826.46+907.99</f>
        <v>1734.45</v>
      </c>
      <c r="H70" s="50"/>
      <c r="I70" s="50"/>
      <c r="J70" s="50"/>
      <c r="K70" s="50"/>
      <c r="L70" s="54"/>
      <c r="M70" s="39"/>
      <c r="N70" s="53"/>
      <c r="O70" s="184"/>
      <c r="P70" s="194"/>
    </row>
    <row r="71" spans="1:16" s="82" customFormat="1" ht="19.5" customHeight="1">
      <c r="A71" s="34" t="s">
        <v>41</v>
      </c>
      <c r="B71" s="35" t="s">
        <v>98</v>
      </c>
      <c r="C71" s="55"/>
      <c r="D71" s="49"/>
      <c r="E71" s="49"/>
      <c r="F71" s="50">
        <f t="shared" si="17"/>
        <v>25.16</v>
      </c>
      <c r="G71" s="50">
        <v>25.16</v>
      </c>
      <c r="H71" s="50"/>
      <c r="I71" s="50"/>
      <c r="J71" s="50"/>
      <c r="K71" s="50"/>
      <c r="L71" s="51"/>
      <c r="M71" s="52"/>
      <c r="N71" s="53"/>
      <c r="O71" s="184"/>
      <c r="P71" s="194"/>
    </row>
    <row r="72" spans="1:16" s="82" customFormat="1" ht="19.5" customHeight="1">
      <c r="A72" s="34" t="s">
        <v>43</v>
      </c>
      <c r="B72" s="35" t="s">
        <v>99</v>
      </c>
      <c r="C72" s="48" t="s">
        <v>100</v>
      </c>
      <c r="D72" s="49">
        <v>30400</v>
      </c>
      <c r="E72" s="49">
        <v>30400</v>
      </c>
      <c r="F72" s="50">
        <f t="shared" si="17"/>
        <v>14518.53</v>
      </c>
      <c r="G72" s="50">
        <v>14518.53</v>
      </c>
      <c r="H72" s="50"/>
      <c r="I72" s="50"/>
      <c r="J72" s="50"/>
      <c r="K72" s="50"/>
      <c r="L72" s="54"/>
      <c r="M72" s="39"/>
      <c r="N72" s="53"/>
      <c r="O72" s="184"/>
      <c r="P72" s="194"/>
    </row>
    <row r="73" spans="1:16" s="197" customFormat="1" ht="19.5" customHeight="1">
      <c r="A73" s="34" t="s">
        <v>101</v>
      </c>
      <c r="B73" s="35" t="s">
        <v>102</v>
      </c>
      <c r="C73" s="60" t="s">
        <v>103</v>
      </c>
      <c r="D73" s="40"/>
      <c r="E73" s="40"/>
      <c r="F73" s="42">
        <f t="shared" si="17"/>
        <v>8229.98</v>
      </c>
      <c r="G73" s="42"/>
      <c r="H73" s="42">
        <f>SUM(I73:K73)</f>
        <v>8229.98</v>
      </c>
      <c r="I73" s="42">
        <v>8229.98</v>
      </c>
      <c r="J73" s="42"/>
      <c r="K73" s="42"/>
      <c r="L73" s="54"/>
      <c r="M73" s="39"/>
      <c r="N73" s="41"/>
      <c r="O73" s="182"/>
      <c r="P73" s="192"/>
    </row>
    <row r="74" spans="1:16" s="197" customFormat="1" ht="19.5" customHeight="1">
      <c r="A74" s="34" t="s">
        <v>104</v>
      </c>
      <c r="B74" s="35" t="s">
        <v>105</v>
      </c>
      <c r="C74" s="60" t="s">
        <v>106</v>
      </c>
      <c r="D74" s="40"/>
      <c r="E74" s="40"/>
      <c r="F74" s="42">
        <f t="shared" si="17"/>
        <v>50599.950000000004</v>
      </c>
      <c r="G74" s="42"/>
      <c r="H74" s="42">
        <f>SUM(I74:K74)</f>
        <v>50599.950000000004</v>
      </c>
      <c r="I74" s="42">
        <v>36.44</v>
      </c>
      <c r="J74" s="42">
        <v>46875.12</v>
      </c>
      <c r="K74" s="42">
        <v>3688.39</v>
      </c>
      <c r="L74" s="54"/>
      <c r="M74" s="39"/>
      <c r="N74" s="41"/>
      <c r="O74" s="182"/>
      <c r="P74" s="192"/>
    </row>
    <row r="75" spans="1:16" s="197" customFormat="1" ht="19.5" customHeight="1">
      <c r="A75" s="34" t="s">
        <v>107</v>
      </c>
      <c r="B75" s="35" t="s">
        <v>108</v>
      </c>
      <c r="C75" s="61" t="s">
        <v>109</v>
      </c>
      <c r="D75" s="40"/>
      <c r="E75" s="40"/>
      <c r="F75" s="42">
        <f t="shared" si="17"/>
        <v>1247823.86</v>
      </c>
      <c r="G75" s="42"/>
      <c r="H75" s="42">
        <f>SUM(I75:K75)</f>
        <v>1247823.86</v>
      </c>
      <c r="I75" s="42">
        <v>873454.91</v>
      </c>
      <c r="J75" s="42">
        <v>331295.1</v>
      </c>
      <c r="K75" s="42">
        <v>43073.85</v>
      </c>
      <c r="L75" s="54"/>
      <c r="M75" s="39"/>
      <c r="N75" s="41"/>
      <c r="O75" s="182"/>
      <c r="P75" s="192"/>
    </row>
    <row r="76" spans="1:16" s="197" customFormat="1" ht="19.5" customHeight="1">
      <c r="A76" s="34" t="s">
        <v>110</v>
      </c>
      <c r="B76" s="35" t="s">
        <v>111</v>
      </c>
      <c r="C76" s="61" t="s">
        <v>112</v>
      </c>
      <c r="D76" s="40"/>
      <c r="E76" s="40"/>
      <c r="F76" s="42">
        <f t="shared" si="17"/>
        <v>155000</v>
      </c>
      <c r="G76" s="42"/>
      <c r="H76" s="42">
        <f>SUM(I76:K76)</f>
        <v>155000</v>
      </c>
      <c r="I76" s="42">
        <v>155000</v>
      </c>
      <c r="J76" s="42"/>
      <c r="K76" s="42"/>
      <c r="L76" s="54"/>
      <c r="M76" s="39"/>
      <c r="N76" s="41"/>
      <c r="O76" s="182"/>
      <c r="P76" s="192"/>
    </row>
    <row r="77" spans="1:16" s="205" customFormat="1" ht="19.5" customHeight="1">
      <c r="A77" s="26" t="s">
        <v>113</v>
      </c>
      <c r="B77" s="27" t="s">
        <v>114</v>
      </c>
      <c r="C77" s="28"/>
      <c r="D77" s="62">
        <f>SUM(D78:D80,D81,D85:D86)</f>
        <v>0</v>
      </c>
      <c r="E77" s="62">
        <f>SUM(E78:E81)</f>
        <v>206800</v>
      </c>
      <c r="F77" s="63">
        <f aca="true" t="shared" si="18" ref="F77:K77">SUM(F78:F80,F81,F85:F86)</f>
        <v>392805.12999999995</v>
      </c>
      <c r="G77" s="63">
        <f t="shared" si="18"/>
        <v>0</v>
      </c>
      <c r="H77" s="63">
        <f t="shared" si="18"/>
        <v>392805.12999999995</v>
      </c>
      <c r="I77" s="63">
        <f t="shared" si="18"/>
        <v>306494.64</v>
      </c>
      <c r="J77" s="63">
        <f t="shared" si="18"/>
        <v>83627.45000000001</v>
      </c>
      <c r="K77" s="63">
        <f t="shared" si="18"/>
        <v>2683.04</v>
      </c>
      <c r="L77" s="31"/>
      <c r="M77" s="32">
        <f>F77/E77</f>
        <v>1.8994445357833654</v>
      </c>
      <c r="N77" s="64"/>
      <c r="O77" s="186"/>
      <c r="P77" s="198"/>
    </row>
    <row r="78" spans="1:16" s="197" customFormat="1" ht="19.5" customHeight="1">
      <c r="A78" s="34" t="s">
        <v>24</v>
      </c>
      <c r="B78" s="35" t="s">
        <v>115</v>
      </c>
      <c r="C78" s="36" t="s">
        <v>116</v>
      </c>
      <c r="D78" s="40"/>
      <c r="E78" s="40"/>
      <c r="F78" s="42">
        <f>SUM(G78:H78)</f>
        <v>8370.91</v>
      </c>
      <c r="G78" s="42"/>
      <c r="H78" s="42">
        <f>SUM(I78:K78)</f>
        <v>8370.91</v>
      </c>
      <c r="I78" s="42">
        <v>7452.59</v>
      </c>
      <c r="J78" s="42">
        <v>918.32</v>
      </c>
      <c r="K78" s="42"/>
      <c r="L78" s="31"/>
      <c r="M78" s="32"/>
      <c r="N78" s="41"/>
      <c r="O78" s="182"/>
      <c r="P78" s="192"/>
    </row>
    <row r="79" spans="1:16" s="197" customFormat="1" ht="19.5" customHeight="1">
      <c r="A79" s="34" t="s">
        <v>41</v>
      </c>
      <c r="B79" s="35" t="s">
        <v>117</v>
      </c>
      <c r="C79" s="36" t="s">
        <v>118</v>
      </c>
      <c r="D79" s="40"/>
      <c r="E79" s="40">
        <v>10100</v>
      </c>
      <c r="F79" s="42">
        <f>SUM(G79:H79)</f>
        <v>16116.380000000001</v>
      </c>
      <c r="G79" s="42"/>
      <c r="H79" s="42">
        <f>SUM(I79:K79)</f>
        <v>16116.380000000001</v>
      </c>
      <c r="I79" s="42">
        <v>12412.85</v>
      </c>
      <c r="J79" s="42">
        <v>3703.53</v>
      </c>
      <c r="K79" s="42"/>
      <c r="L79" s="31"/>
      <c r="M79" s="32"/>
      <c r="N79" s="41"/>
      <c r="O79" s="182"/>
      <c r="P79" s="192"/>
    </row>
    <row r="80" spans="1:16" s="197" customFormat="1" ht="19.5" customHeight="1">
      <c r="A80" s="34" t="s">
        <v>43</v>
      </c>
      <c r="B80" s="35" t="s">
        <v>119</v>
      </c>
      <c r="C80" s="36" t="s">
        <v>120</v>
      </c>
      <c r="D80" s="40"/>
      <c r="E80" s="40">
        <v>187700</v>
      </c>
      <c r="F80" s="42">
        <f>SUM(G80:H80)</f>
        <v>270180.88</v>
      </c>
      <c r="G80" s="42"/>
      <c r="H80" s="42">
        <f>SUM(I80:K80)</f>
        <v>270180.88</v>
      </c>
      <c r="I80" s="42">
        <v>270180.88</v>
      </c>
      <c r="J80" s="42"/>
      <c r="K80" s="42"/>
      <c r="L80" s="31"/>
      <c r="M80" s="32"/>
      <c r="N80" s="41"/>
      <c r="O80" s="182"/>
      <c r="P80" s="192"/>
    </row>
    <row r="81" spans="1:16" s="197" customFormat="1" ht="19.5" customHeight="1">
      <c r="A81" s="34" t="s">
        <v>54</v>
      </c>
      <c r="B81" s="65" t="s">
        <v>121</v>
      </c>
      <c r="C81" s="36"/>
      <c r="D81" s="40">
        <f>SUM(D82:D84)</f>
        <v>0</v>
      </c>
      <c r="E81" s="40">
        <v>9000</v>
      </c>
      <c r="F81" s="42">
        <f aca="true" t="shared" si="19" ref="F81:K81">SUM(F82:F84)</f>
        <v>13022.06</v>
      </c>
      <c r="G81" s="42">
        <f t="shared" si="19"/>
        <v>0</v>
      </c>
      <c r="H81" s="42">
        <f t="shared" si="19"/>
        <v>13022.06</v>
      </c>
      <c r="I81" s="42">
        <f t="shared" si="19"/>
        <v>13022.06</v>
      </c>
      <c r="J81" s="42">
        <f t="shared" si="19"/>
        <v>0</v>
      </c>
      <c r="K81" s="42">
        <f t="shared" si="19"/>
        <v>0</v>
      </c>
      <c r="L81" s="54"/>
      <c r="M81" s="39">
        <f>F81/E81</f>
        <v>1.4468955555555556</v>
      </c>
      <c r="N81" s="41"/>
      <c r="O81" s="182"/>
      <c r="P81" s="192"/>
    </row>
    <row r="82" spans="1:16" s="77" customFormat="1" ht="19.5" customHeight="1">
      <c r="A82" s="66"/>
      <c r="B82" s="67" t="s">
        <v>122</v>
      </c>
      <c r="C82" s="48"/>
      <c r="D82" s="49"/>
      <c r="E82" s="49"/>
      <c r="F82" s="50">
        <f>SUM(G82:H82)</f>
        <v>5416.94</v>
      </c>
      <c r="G82" s="50"/>
      <c r="H82" s="50">
        <f>SUM(I82:K82)</f>
        <v>5416.94</v>
      </c>
      <c r="I82" s="50">
        <v>5416.94</v>
      </c>
      <c r="J82" s="50"/>
      <c r="K82" s="50"/>
      <c r="L82" s="54"/>
      <c r="M82" s="39"/>
      <c r="N82" s="68"/>
      <c r="O82" s="187"/>
      <c r="P82" s="199"/>
    </row>
    <row r="83" spans="1:16" s="77" customFormat="1" ht="19.5" customHeight="1">
      <c r="A83" s="66"/>
      <c r="B83" s="67" t="s">
        <v>123</v>
      </c>
      <c r="C83" s="48"/>
      <c r="D83" s="49"/>
      <c r="E83" s="49"/>
      <c r="F83" s="50">
        <f>SUM(G83:H83)</f>
        <v>402.03</v>
      </c>
      <c r="G83" s="50"/>
      <c r="H83" s="50">
        <f>SUM(I83:K83)</f>
        <v>402.03</v>
      </c>
      <c r="I83" s="50">
        <v>402.03</v>
      </c>
      <c r="J83" s="50"/>
      <c r="K83" s="50"/>
      <c r="L83" s="54"/>
      <c r="M83" s="39"/>
      <c r="N83" s="68"/>
      <c r="O83" s="187"/>
      <c r="P83" s="199"/>
    </row>
    <row r="84" spans="1:16" s="77" customFormat="1" ht="19.5" customHeight="1">
      <c r="A84" s="66"/>
      <c r="B84" s="67" t="s">
        <v>124</v>
      </c>
      <c r="C84" s="48"/>
      <c r="D84" s="49"/>
      <c r="E84" s="49"/>
      <c r="F84" s="50">
        <f>SUM(G84:H84)</f>
        <v>7203.09</v>
      </c>
      <c r="G84" s="50"/>
      <c r="H84" s="50">
        <f>SUM(I84:K84)</f>
        <v>7203.09</v>
      </c>
      <c r="I84" s="50">
        <v>7203.09</v>
      </c>
      <c r="J84" s="50"/>
      <c r="K84" s="50"/>
      <c r="L84" s="54"/>
      <c r="M84" s="39"/>
      <c r="N84" s="68"/>
      <c r="O84" s="187"/>
      <c r="P84" s="199"/>
    </row>
    <row r="85" spans="1:16" s="197" customFormat="1" ht="19.5" customHeight="1">
      <c r="A85" s="34" t="s">
        <v>56</v>
      </c>
      <c r="B85" s="35" t="s">
        <v>125</v>
      </c>
      <c r="C85" s="60" t="s">
        <v>126</v>
      </c>
      <c r="D85" s="40"/>
      <c r="E85" s="40"/>
      <c r="F85" s="42">
        <f>SUM(G85:H85)</f>
        <v>69400.05</v>
      </c>
      <c r="G85" s="42"/>
      <c r="H85" s="42">
        <f>SUM(I85:K85)</f>
        <v>69400.05</v>
      </c>
      <c r="I85" s="42"/>
      <c r="J85" s="42">
        <v>67936</v>
      </c>
      <c r="K85" s="42">
        <v>1464.05</v>
      </c>
      <c r="L85" s="54"/>
      <c r="M85" s="39"/>
      <c r="N85" s="41"/>
      <c r="O85" s="182"/>
      <c r="P85" s="192"/>
    </row>
    <row r="86" spans="1:16" s="197" customFormat="1" ht="19.5" customHeight="1">
      <c r="A86" s="34" t="s">
        <v>57</v>
      </c>
      <c r="B86" s="35" t="s">
        <v>127</v>
      </c>
      <c r="C86" s="60" t="s">
        <v>128</v>
      </c>
      <c r="D86" s="40"/>
      <c r="E86" s="40"/>
      <c r="F86" s="42">
        <f>SUM(G86:H86)</f>
        <v>15714.85</v>
      </c>
      <c r="G86" s="42"/>
      <c r="H86" s="42">
        <f>SUM(I86:K86)</f>
        <v>15714.85</v>
      </c>
      <c r="I86" s="42">
        <v>3426.26</v>
      </c>
      <c r="J86" s="42">
        <v>11069.6</v>
      </c>
      <c r="K86" s="42">
        <v>1218.99</v>
      </c>
      <c r="L86" s="54"/>
      <c r="M86" s="39"/>
      <c r="N86" s="41"/>
      <c r="O86" s="182"/>
      <c r="P86" s="192"/>
    </row>
    <row r="87" spans="1:16" s="205" customFormat="1" ht="19.5" customHeight="1">
      <c r="A87" s="26" t="s">
        <v>129</v>
      </c>
      <c r="B87" s="27" t="s">
        <v>130</v>
      </c>
      <c r="C87" s="28"/>
      <c r="D87" s="62">
        <f>SUM(D88:D89)</f>
        <v>5026684</v>
      </c>
      <c r="E87" s="62">
        <f>SUM(E88:E89)</f>
        <v>5026684</v>
      </c>
      <c r="F87" s="63">
        <f>SUM(F88:F89)</f>
        <v>5794729.25</v>
      </c>
      <c r="G87" s="63"/>
      <c r="H87" s="63">
        <f>SUM(H88:H89)</f>
        <v>5794729.25</v>
      </c>
      <c r="I87" s="63">
        <f>SUM(I88:I89)</f>
        <v>5794729.25</v>
      </c>
      <c r="J87" s="63">
        <f>SUM(J88:J89)</f>
        <v>3440692.09</v>
      </c>
      <c r="K87" s="63">
        <f>SUM(K88:K89)</f>
        <v>500712.19</v>
      </c>
      <c r="L87" s="31">
        <f>F87/D87</f>
        <v>1.1527936210034289</v>
      </c>
      <c r="M87" s="32">
        <f>F87/E87</f>
        <v>1.1527936210034289</v>
      </c>
      <c r="N87" s="64"/>
      <c r="O87" s="186"/>
      <c r="P87" s="198"/>
    </row>
    <row r="88" spans="1:16" s="82" customFormat="1" ht="19.5" customHeight="1">
      <c r="A88" s="34" t="s">
        <v>24</v>
      </c>
      <c r="B88" s="35" t="s">
        <v>131</v>
      </c>
      <c r="C88" s="48" t="s">
        <v>132</v>
      </c>
      <c r="D88" s="49">
        <v>3477677</v>
      </c>
      <c r="E88" s="49">
        <v>3477677</v>
      </c>
      <c r="F88" s="50">
        <f>SUM(G88:H88)</f>
        <v>3477677</v>
      </c>
      <c r="G88" s="50"/>
      <c r="H88" s="50">
        <f>SUM(I88)</f>
        <v>3477677</v>
      </c>
      <c r="I88" s="50">
        <v>3477677</v>
      </c>
      <c r="J88" s="50">
        <v>2338099</v>
      </c>
      <c r="K88" s="50">
        <v>421920.99</v>
      </c>
      <c r="L88" s="51">
        <f>F88/D88</f>
        <v>1</v>
      </c>
      <c r="M88" s="52">
        <f>F88/E88</f>
        <v>1</v>
      </c>
      <c r="N88" s="53"/>
      <c r="O88" s="184"/>
      <c r="P88" s="194"/>
    </row>
    <row r="89" spans="1:16" s="82" customFormat="1" ht="19.5" customHeight="1">
      <c r="A89" s="34" t="s">
        <v>41</v>
      </c>
      <c r="B89" s="35" t="s">
        <v>133</v>
      </c>
      <c r="C89" s="48" t="s">
        <v>134</v>
      </c>
      <c r="D89" s="49">
        <v>1549007</v>
      </c>
      <c r="E89" s="49">
        <v>1549007</v>
      </c>
      <c r="F89" s="50">
        <f aca="true" t="shared" si="20" ref="F89:K89">SUM(F90:F91)</f>
        <v>2317052.25</v>
      </c>
      <c r="G89" s="50">
        <f t="shared" si="20"/>
        <v>0</v>
      </c>
      <c r="H89" s="50">
        <f t="shared" si="20"/>
        <v>2317052.25</v>
      </c>
      <c r="I89" s="50">
        <f t="shared" si="20"/>
        <v>2317052.25</v>
      </c>
      <c r="J89" s="50">
        <f t="shared" si="20"/>
        <v>1102593.0899999999</v>
      </c>
      <c r="K89" s="50">
        <f t="shared" si="20"/>
        <v>78791.2</v>
      </c>
      <c r="L89" s="51">
        <f>F89/D89</f>
        <v>1.4958307160651954</v>
      </c>
      <c r="M89" s="52">
        <f>F89/E89</f>
        <v>1.4958307160651954</v>
      </c>
      <c r="N89" s="53"/>
      <c r="O89" s="184"/>
      <c r="P89" s="194"/>
    </row>
    <row r="90" spans="1:16" s="77" customFormat="1" ht="19.5" customHeight="1">
      <c r="A90" s="59"/>
      <c r="B90" s="47" t="s">
        <v>135</v>
      </c>
      <c r="C90" s="55"/>
      <c r="D90" s="49"/>
      <c r="E90" s="49"/>
      <c r="F90" s="50">
        <f>SUM(G90:H90)</f>
        <v>2175934.2</v>
      </c>
      <c r="G90" s="50"/>
      <c r="H90" s="50">
        <f>SUM(I90)</f>
        <v>2175934.2</v>
      </c>
      <c r="I90" s="50">
        <v>2175934.2</v>
      </c>
      <c r="J90" s="50">
        <v>1055700.43</v>
      </c>
      <c r="K90" s="50">
        <v>78791.2</v>
      </c>
      <c r="L90" s="54"/>
      <c r="M90" s="39"/>
      <c r="N90" s="68"/>
      <c r="O90" s="187"/>
      <c r="P90" s="199"/>
    </row>
    <row r="91" spans="1:16" s="77" customFormat="1" ht="19.5" customHeight="1">
      <c r="A91" s="59"/>
      <c r="B91" s="47" t="s">
        <v>136</v>
      </c>
      <c r="C91" s="55"/>
      <c r="D91" s="49"/>
      <c r="E91" s="49"/>
      <c r="F91" s="50">
        <f>SUM(G91:H91)</f>
        <v>141118.05</v>
      </c>
      <c r="G91" s="50"/>
      <c r="H91" s="50">
        <f>SUM(I91)</f>
        <v>141118.05</v>
      </c>
      <c r="I91" s="50">
        <v>141118.05</v>
      </c>
      <c r="J91" s="50">
        <v>46892.66</v>
      </c>
      <c r="K91" s="50"/>
      <c r="L91" s="31"/>
      <c r="M91" s="32"/>
      <c r="N91" s="68"/>
      <c r="O91" s="187"/>
      <c r="P91" s="199"/>
    </row>
    <row r="92" spans="1:16" s="205" customFormat="1" ht="19.5" customHeight="1">
      <c r="A92" s="69" t="s">
        <v>137</v>
      </c>
      <c r="B92" s="70" t="s">
        <v>138</v>
      </c>
      <c r="C92" s="71">
        <v>4700</v>
      </c>
      <c r="D92" s="72"/>
      <c r="E92" s="72"/>
      <c r="F92" s="73">
        <f>SUM(G92:H92)</f>
        <v>5826.16</v>
      </c>
      <c r="G92" s="73"/>
      <c r="H92" s="73">
        <f>SUM(I92:K92)</f>
        <v>5826.16</v>
      </c>
      <c r="I92" s="73">
        <v>3580.13</v>
      </c>
      <c r="J92" s="73">
        <v>2246.03</v>
      </c>
      <c r="K92" s="73"/>
      <c r="L92" s="74"/>
      <c r="M92" s="75"/>
      <c r="N92" s="64"/>
      <c r="O92" s="186"/>
      <c r="P92" s="198"/>
    </row>
    <row r="93" spans="1:16" s="82" customFormat="1" ht="15.75">
      <c r="A93" s="76"/>
      <c r="B93" s="77"/>
      <c r="C93" s="78"/>
      <c r="D93" s="79"/>
      <c r="E93" s="79"/>
      <c r="F93" s="80"/>
      <c r="G93" s="80"/>
      <c r="H93" s="80"/>
      <c r="I93" s="80"/>
      <c r="J93" s="80"/>
      <c r="K93" s="80"/>
      <c r="L93" s="81"/>
      <c r="M93" s="81"/>
      <c r="O93" s="79"/>
      <c r="P93" s="194"/>
    </row>
    <row r="94" spans="1:16" s="82" customFormat="1" ht="15.75">
      <c r="A94" s="108"/>
      <c r="B94" s="108"/>
      <c r="C94" s="78"/>
      <c r="D94" s="108"/>
      <c r="E94" s="108"/>
      <c r="F94" s="108"/>
      <c r="G94" s="108"/>
      <c r="H94" s="108"/>
      <c r="I94" s="108"/>
      <c r="J94" s="108"/>
      <c r="K94" s="108"/>
      <c r="L94" s="108"/>
      <c r="M94" s="108"/>
      <c r="O94" s="79"/>
      <c r="P94" s="194"/>
    </row>
    <row r="95" spans="1:16" s="84" customFormat="1" ht="15.75">
      <c r="A95" s="165"/>
      <c r="B95" s="165"/>
      <c r="C95" s="83"/>
      <c r="D95" s="165"/>
      <c r="E95" s="165"/>
      <c r="F95" s="165"/>
      <c r="G95" s="165"/>
      <c r="H95" s="165"/>
      <c r="I95" s="165"/>
      <c r="J95" s="165"/>
      <c r="K95" s="165"/>
      <c r="L95" s="165"/>
      <c r="M95" s="165"/>
      <c r="O95" s="85"/>
      <c r="P95" s="200"/>
    </row>
    <row r="96" spans="1:16" s="91" customFormat="1" ht="18.75">
      <c r="A96" s="86"/>
      <c r="B96" s="87"/>
      <c r="C96" s="88"/>
      <c r="D96" s="89"/>
      <c r="E96" s="89"/>
      <c r="F96" s="86"/>
      <c r="G96" s="86"/>
      <c r="H96" s="86"/>
      <c r="I96" s="138"/>
      <c r="J96" s="138"/>
      <c r="K96" s="138"/>
      <c r="L96" s="138"/>
      <c r="M96" s="138"/>
      <c r="O96" s="89"/>
      <c r="P96" s="201"/>
    </row>
    <row r="97" spans="1:16" s="91" customFormat="1" ht="18.75">
      <c r="A97" s="86"/>
      <c r="B97" s="92"/>
      <c r="C97" s="88"/>
      <c r="D97" s="89"/>
      <c r="E97" s="89"/>
      <c r="F97" s="93"/>
      <c r="G97" s="93"/>
      <c r="H97" s="93"/>
      <c r="I97" s="93"/>
      <c r="J97" s="167"/>
      <c r="K97" s="167"/>
      <c r="L97" s="167"/>
      <c r="M97" s="7"/>
      <c r="O97" s="89"/>
      <c r="P97" s="201"/>
    </row>
    <row r="98" ht="15.75">
      <c r="B98" s="94"/>
    </row>
    <row r="99" spans="2:11" ht="15.75">
      <c r="B99" s="94"/>
      <c r="J99" s="12"/>
      <c r="K99" s="12"/>
    </row>
    <row r="100" spans="2:11" ht="15.75">
      <c r="B100" s="94"/>
      <c r="J100" s="12"/>
      <c r="K100" s="12"/>
    </row>
    <row r="101" spans="1:11" ht="15.75" customHeight="1" hidden="1">
      <c r="A101" s="168" t="s">
        <v>139</v>
      </c>
      <c r="B101" s="168"/>
      <c r="J101" s="12"/>
      <c r="K101" s="12"/>
    </row>
    <row r="102" spans="1:13" ht="42.75" customHeight="1" hidden="1">
      <c r="A102" s="166" t="s">
        <v>140</v>
      </c>
      <c r="B102" s="166"/>
      <c r="C102" s="166"/>
      <c r="D102" s="166"/>
      <c r="E102" s="166"/>
      <c r="F102" s="166"/>
      <c r="G102" s="166"/>
      <c r="H102" s="166"/>
      <c r="I102" s="166"/>
      <c r="J102" s="166"/>
      <c r="K102" s="166"/>
      <c r="L102" s="166"/>
      <c r="M102" s="166"/>
    </row>
    <row r="103" spans="1:13" ht="39.75" customHeight="1" hidden="1">
      <c r="A103" s="166" t="s">
        <v>141</v>
      </c>
      <c r="B103" s="166"/>
      <c r="C103" s="166"/>
      <c r="D103" s="166"/>
      <c r="E103" s="166"/>
      <c r="F103" s="166"/>
      <c r="G103" s="166"/>
      <c r="H103" s="166"/>
      <c r="I103" s="166"/>
      <c r="J103" s="166"/>
      <c r="K103" s="166"/>
      <c r="L103" s="166"/>
      <c r="M103" s="166"/>
    </row>
    <row r="104" spans="1:13" ht="15.75">
      <c r="A104" s="95"/>
      <c r="B104" s="95"/>
      <c r="C104" s="96"/>
      <c r="D104" s="97"/>
      <c r="E104" s="97"/>
      <c r="F104" s="98"/>
      <c r="G104" s="98"/>
      <c r="H104" s="98"/>
      <c r="I104" s="98"/>
      <c r="J104" s="98"/>
      <c r="K104" s="98"/>
      <c r="L104" s="99"/>
      <c r="M104" s="99"/>
    </row>
    <row r="105" ht="15.75">
      <c r="B105" s="84"/>
    </row>
  </sheetData>
  <mergeCells count="28">
    <mergeCell ref="A103:M103"/>
    <mergeCell ref="I96:M96"/>
    <mergeCell ref="J97:L97"/>
    <mergeCell ref="A101:B101"/>
    <mergeCell ref="A102:M102"/>
    <mergeCell ref="A94:B94"/>
    <mergeCell ref="D94:H94"/>
    <mergeCell ref="I94:M94"/>
    <mergeCell ref="A95:B95"/>
    <mergeCell ref="D95:H95"/>
    <mergeCell ref="I95:M95"/>
    <mergeCell ref="A6:A8"/>
    <mergeCell ref="B6:B8"/>
    <mergeCell ref="D6:E6"/>
    <mergeCell ref="F6:F8"/>
    <mergeCell ref="G6:K6"/>
    <mergeCell ref="L6:M6"/>
    <mergeCell ref="D7:D8"/>
    <mergeCell ref="E7:E8"/>
    <mergeCell ref="G7:G8"/>
    <mergeCell ref="H7:H8"/>
    <mergeCell ref="I7:K7"/>
    <mergeCell ref="L7:L8"/>
    <mergeCell ref="M7:M8"/>
    <mergeCell ref="L1:M1"/>
    <mergeCell ref="A3:B3"/>
    <mergeCell ref="K3:M3"/>
    <mergeCell ref="A4:M4"/>
  </mergeCells>
  <printOptions horizontalCentered="1"/>
  <pageMargins left="0.25" right="0.25" top="0.5" bottom="0.25" header="0.5" footer="0.5"/>
  <pageSetup horizontalDpi="600" verticalDpi="600" orientation="portrait" paperSize="9" scale="7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2014-11-25T03:04:28Z</cp:lastPrinted>
  <dcterms:created xsi:type="dcterms:W3CDTF">2014-11-20T01:50:53Z</dcterms:created>
  <dcterms:modified xsi:type="dcterms:W3CDTF">2014-11-25T03:04:33Z</dcterms:modified>
  <cp:category/>
  <cp:version/>
  <cp:contentType/>
  <cp:contentStatus/>
</cp:coreProperties>
</file>